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135" windowHeight="8130"/>
  </bookViews>
  <sheets>
    <sheet name="QUÝ -2022" sheetId="1" r:id="rId1"/>
  </sheets>
  <definedNames>
    <definedName name="_xlnm.Print_Titles" localSheetId="0">'QUÝ -2022'!$6:$9</definedName>
  </definedNames>
  <calcPr calcId="124519"/>
</workbook>
</file>

<file path=xl/calcChain.xml><?xml version="1.0" encoding="utf-8"?>
<calcChain xmlns="http://schemas.openxmlformats.org/spreadsheetml/2006/main">
  <c r="Q82" i="1"/>
  <c r="Q72"/>
  <c r="Q51"/>
  <c r="Q47"/>
  <c r="O85" l="1"/>
  <c r="O68"/>
  <c r="O55"/>
  <c r="Q93"/>
  <c r="Q70"/>
  <c r="Q69"/>
  <c r="Q66"/>
  <c r="Q63"/>
  <c r="Q54"/>
  <c r="Q52"/>
  <c r="Q50"/>
  <c r="Q48"/>
  <c r="Q44"/>
  <c r="Q43"/>
  <c r="Q36"/>
  <c r="Q35"/>
  <c r="Q34"/>
  <c r="Q33"/>
  <c r="Q31"/>
  <c r="Q28"/>
  <c r="Q27"/>
  <c r="Q24"/>
  <c r="Q21"/>
  <c r="H88" l="1"/>
  <c r="G82"/>
  <c r="G72"/>
  <c r="E82"/>
  <c r="G30"/>
  <c r="F12"/>
  <c r="P97" l="1"/>
  <c r="P30"/>
  <c r="S30" s="1"/>
  <c r="O51" l="1"/>
  <c r="N31"/>
  <c r="R27"/>
  <c r="R24"/>
  <c r="F30"/>
  <c r="N30" s="1"/>
  <c r="E80"/>
  <c r="G13"/>
  <c r="O40"/>
  <c r="S40" s="1"/>
  <c r="N40"/>
  <c r="N39" s="1"/>
  <c r="L40"/>
  <c r="L39" s="1"/>
  <c r="J40"/>
  <c r="J39" s="1"/>
  <c r="P39"/>
  <c r="O39"/>
  <c r="M39"/>
  <c r="K39"/>
  <c r="I39"/>
  <c r="H39"/>
  <c r="G39"/>
  <c r="S96"/>
  <c r="N96"/>
  <c r="N38"/>
  <c r="N43"/>
  <c r="N44"/>
  <c r="N45"/>
  <c r="N46"/>
  <c r="N48"/>
  <c r="N50"/>
  <c r="N52"/>
  <c r="N53"/>
  <c r="N54"/>
  <c r="N55"/>
  <c r="N56"/>
  <c r="N57"/>
  <c r="N58"/>
  <c r="N59"/>
  <c r="N60"/>
  <c r="N61"/>
  <c r="N63"/>
  <c r="N64"/>
  <c r="N65"/>
  <c r="N66"/>
  <c r="N68"/>
  <c r="N69"/>
  <c r="N70"/>
  <c r="N71"/>
  <c r="N73"/>
  <c r="N74"/>
  <c r="N75"/>
  <c r="N76"/>
  <c r="N78"/>
  <c r="N79"/>
  <c r="N83"/>
  <c r="N84"/>
  <c r="N86"/>
  <c r="N87"/>
  <c r="N88"/>
  <c r="N90"/>
  <c r="N93"/>
  <c r="N94"/>
  <c r="N95"/>
  <c r="F18" l="1"/>
  <c r="F19"/>
  <c r="S39"/>
  <c r="S10"/>
  <c r="O20"/>
  <c r="S75" l="1"/>
  <c r="Q20" l="1"/>
  <c r="H47"/>
  <c r="I47"/>
  <c r="J47"/>
  <c r="K47"/>
  <c r="L47"/>
  <c r="M47"/>
  <c r="H67"/>
  <c r="I67"/>
  <c r="J67"/>
  <c r="K67"/>
  <c r="L67"/>
  <c r="M67"/>
  <c r="H82"/>
  <c r="I82"/>
  <c r="J82"/>
  <c r="K82"/>
  <c r="L82"/>
  <c r="M82"/>
  <c r="S86"/>
  <c r="O56"/>
  <c r="O57"/>
  <c r="O58"/>
  <c r="O59"/>
  <c r="O60"/>
  <c r="O61"/>
  <c r="O62"/>
  <c r="O63"/>
  <c r="O64"/>
  <c r="O65"/>
  <c r="O66"/>
  <c r="O69"/>
  <c r="S69" s="1"/>
  <c r="O48"/>
  <c r="O47" s="1"/>
  <c r="S76"/>
  <c r="Q78"/>
  <c r="S78" s="1"/>
  <c r="Q79"/>
  <c r="S79" s="1"/>
  <c r="S83"/>
  <c r="Q84"/>
  <c r="S84" s="1"/>
  <c r="Q85"/>
  <c r="Q87"/>
  <c r="S87" s="1"/>
  <c r="Q88"/>
  <c r="S88" s="1"/>
  <c r="Q90"/>
  <c r="S90" s="1"/>
  <c r="Q94"/>
  <c r="S94" s="1"/>
  <c r="Q95"/>
  <c r="S95" s="1"/>
  <c r="Q71"/>
  <c r="S71" s="1"/>
  <c r="Q73"/>
  <c r="Q74"/>
  <c r="S74" s="1"/>
  <c r="Q64"/>
  <c r="Q65"/>
  <c r="S70"/>
  <c r="Q59"/>
  <c r="Q60"/>
  <c r="Q61"/>
  <c r="S50"/>
  <c r="Q53"/>
  <c r="S53" s="1"/>
  <c r="S54"/>
  <c r="S55"/>
  <c r="Q46"/>
  <c r="S46" s="1"/>
  <c r="R38"/>
  <c r="R43"/>
  <c r="R44"/>
  <c r="R45"/>
  <c r="Q38"/>
  <c r="Q45"/>
  <c r="R34"/>
  <c r="R35"/>
  <c r="R36"/>
  <c r="R33"/>
  <c r="R29"/>
  <c r="R28"/>
  <c r="R25"/>
  <c r="S25" s="1"/>
  <c r="R20"/>
  <c r="N15"/>
  <c r="N11"/>
  <c r="E67"/>
  <c r="E51"/>
  <c r="E47"/>
  <c r="E42"/>
  <c r="G32"/>
  <c r="G51"/>
  <c r="N72"/>
  <c r="F82"/>
  <c r="F41" s="1"/>
  <c r="G92"/>
  <c r="G91" s="1"/>
  <c r="N91" s="1"/>
  <c r="N85"/>
  <c r="E92"/>
  <c r="G67"/>
  <c r="N14"/>
  <c r="G62"/>
  <c r="N62" s="1"/>
  <c r="G47"/>
  <c r="G42"/>
  <c r="N17"/>
  <c r="O28"/>
  <c r="O29"/>
  <c r="O33"/>
  <c r="O34"/>
  <c r="O35"/>
  <c r="O36"/>
  <c r="O38"/>
  <c r="O12"/>
  <c r="P12"/>
  <c r="Q12"/>
  <c r="R12"/>
  <c r="S12"/>
  <c r="F13"/>
  <c r="F10" s="1"/>
  <c r="G12"/>
  <c r="G10" s="1"/>
  <c r="H13"/>
  <c r="H12" s="1"/>
  <c r="H10" s="1"/>
  <c r="I13"/>
  <c r="I12" s="1"/>
  <c r="J13"/>
  <c r="J12" s="1"/>
  <c r="K13"/>
  <c r="K12" s="1"/>
  <c r="L13"/>
  <c r="L12" s="1"/>
  <c r="M13"/>
  <c r="M12" s="1"/>
  <c r="E13"/>
  <c r="E12" s="1"/>
  <c r="E10" s="1"/>
  <c r="H41" l="1"/>
  <c r="O26"/>
  <c r="S38"/>
  <c r="S44"/>
  <c r="Q62"/>
  <c r="S62" s="1"/>
  <c r="S45"/>
  <c r="E41"/>
  <c r="E18" s="1"/>
  <c r="E97" s="1"/>
  <c r="N82"/>
  <c r="R23"/>
  <c r="R26"/>
  <c r="N10"/>
  <c r="S35"/>
  <c r="S33"/>
  <c r="G41"/>
  <c r="Q32"/>
  <c r="S36"/>
  <c r="S34"/>
  <c r="S27"/>
  <c r="Q26"/>
  <c r="S47"/>
  <c r="S24"/>
  <c r="Q23"/>
  <c r="N42"/>
  <c r="S73"/>
  <c r="S72"/>
  <c r="S29"/>
  <c r="N51"/>
  <c r="N13"/>
  <c r="Q42"/>
  <c r="S43"/>
  <c r="Q67"/>
  <c r="S66"/>
  <c r="S64"/>
  <c r="S60"/>
  <c r="S58"/>
  <c r="S56"/>
  <c r="S21"/>
  <c r="S28"/>
  <c r="N92"/>
  <c r="S52"/>
  <c r="S51"/>
  <c r="S93"/>
  <c r="Q92"/>
  <c r="N47"/>
  <c r="N67"/>
  <c r="N12"/>
  <c r="R32"/>
  <c r="R42"/>
  <c r="R41" s="1"/>
  <c r="S48"/>
  <c r="S68"/>
  <c r="S65"/>
  <c r="S63"/>
  <c r="S61"/>
  <c r="S59"/>
  <c r="S57"/>
  <c r="O67"/>
  <c r="O22"/>
  <c r="S22" s="1"/>
  <c r="S20"/>
  <c r="U16"/>
  <c r="P37"/>
  <c r="M37"/>
  <c r="L37"/>
  <c r="K37"/>
  <c r="J37"/>
  <c r="I37"/>
  <c r="H37"/>
  <c r="R37" s="1"/>
  <c r="G37"/>
  <c r="Q37" s="1"/>
  <c r="F37"/>
  <c r="E37"/>
  <c r="N36"/>
  <c r="I36"/>
  <c r="N35"/>
  <c r="I35"/>
  <c r="N34"/>
  <c r="I34"/>
  <c r="N33"/>
  <c r="I33"/>
  <c r="M32"/>
  <c r="L32"/>
  <c r="K32"/>
  <c r="J32"/>
  <c r="H32"/>
  <c r="F32"/>
  <c r="E32"/>
  <c r="O32" s="1"/>
  <c r="N29"/>
  <c r="I29"/>
  <c r="N28"/>
  <c r="I28"/>
  <c r="N27"/>
  <c r="I27"/>
  <c r="M26"/>
  <c r="L26"/>
  <c r="K26"/>
  <c r="J26"/>
  <c r="H26"/>
  <c r="G26"/>
  <c r="F26"/>
  <c r="E26"/>
  <c r="N24"/>
  <c r="L24"/>
  <c r="L23" s="1"/>
  <c r="J24"/>
  <c r="J23" s="1"/>
  <c r="M23"/>
  <c r="K23"/>
  <c r="I23"/>
  <c r="H23"/>
  <c r="F23"/>
  <c r="E23"/>
  <c r="N22"/>
  <c r="N21"/>
  <c r="M20"/>
  <c r="L20"/>
  <c r="L19" s="1"/>
  <c r="L18" s="1"/>
  <c r="K20"/>
  <c r="J20"/>
  <c r="I20"/>
  <c r="H20"/>
  <c r="G20"/>
  <c r="F20"/>
  <c r="E20"/>
  <c r="M10"/>
  <c r="L10"/>
  <c r="K10"/>
  <c r="J10"/>
  <c r="I10"/>
  <c r="M19" l="1"/>
  <c r="M18" s="1"/>
  <c r="M97" s="1"/>
  <c r="Q19"/>
  <c r="N41"/>
  <c r="R19"/>
  <c r="K19"/>
  <c r="K18" s="1"/>
  <c r="J19"/>
  <c r="J18" s="1"/>
  <c r="J97" s="1"/>
  <c r="Q41"/>
  <c r="H19"/>
  <c r="H18" s="1"/>
  <c r="S67"/>
  <c r="S32"/>
  <c r="R97"/>
  <c r="S92"/>
  <c r="Q91"/>
  <c r="S91" s="1"/>
  <c r="S42"/>
  <c r="N20"/>
  <c r="S26"/>
  <c r="O37"/>
  <c r="S37" s="1"/>
  <c r="N37"/>
  <c r="S85"/>
  <c r="O82"/>
  <c r="S23"/>
  <c r="I26"/>
  <c r="N26"/>
  <c r="I32"/>
  <c r="I19" s="1"/>
  <c r="I18" s="1"/>
  <c r="N32"/>
  <c r="G23"/>
  <c r="G19" s="1"/>
  <c r="N25"/>
  <c r="Q18" l="1"/>
  <c r="Q97" s="1"/>
  <c r="S82"/>
  <c r="O41"/>
  <c r="O18" s="1"/>
  <c r="S19"/>
  <c r="G18"/>
  <c r="G97" s="1"/>
  <c r="N23"/>
  <c r="N19" s="1"/>
  <c r="N18" s="1"/>
  <c r="K97"/>
  <c r="L97"/>
  <c r="I97"/>
  <c r="S18" l="1"/>
  <c r="O97"/>
  <c r="S97" s="1"/>
  <c r="S41"/>
  <c r="N97"/>
</calcChain>
</file>

<file path=xl/sharedStrings.xml><?xml version="1.0" encoding="utf-8"?>
<sst xmlns="http://schemas.openxmlformats.org/spreadsheetml/2006/main" count="179" uniqueCount="164">
  <si>
    <t>STT</t>
  </si>
  <si>
    <t>M</t>
  </si>
  <si>
    <t>TM</t>
  </si>
  <si>
    <t>Chỉ tiêu</t>
  </si>
  <si>
    <t>Nguồn 12
 (Đấu giá)</t>
  </si>
  <si>
    <t>Nguồn 12 
(UB cấp tết)</t>
  </si>
  <si>
    <t>Nguồn 13</t>
  </si>
  <si>
    <t>Nguồn 14</t>
  </si>
  <si>
    <t>Tổng số</t>
  </si>
  <si>
    <t>Nguồn thu 2%DV</t>
  </si>
  <si>
    <t>Nguồn phí bán hồ sơ ĐG</t>
  </si>
  <si>
    <t>TC</t>
  </si>
  <si>
    <t>I</t>
  </si>
  <si>
    <t>II</t>
  </si>
  <si>
    <t xml:space="preserve">TỔNG CHI </t>
  </si>
  <si>
    <t>Chi thanh toán cá nhân</t>
  </si>
  <si>
    <t>Tiền lương</t>
  </si>
  <si>
    <t>Lương chính thức</t>
  </si>
  <si>
    <t>6049</t>
  </si>
  <si>
    <t xml:space="preserve">Lương khác </t>
  </si>
  <si>
    <t>Tiền công</t>
  </si>
  <si>
    <t>6051</t>
  </si>
  <si>
    <t>Tiền công trả cho lao động thường xuyên theo hợp đồng</t>
  </si>
  <si>
    <t>6099</t>
  </si>
  <si>
    <t>khác</t>
  </si>
  <si>
    <t>Phụ cấp</t>
  </si>
  <si>
    <t>6101</t>
  </si>
  <si>
    <t>Phụ cấp chức vụ</t>
  </si>
  <si>
    <t>6113</t>
  </si>
  <si>
    <t>Phụ cấp trách nhiệm</t>
  </si>
  <si>
    <t>6114</t>
  </si>
  <si>
    <t>Phụ cấp trực lễ, tết</t>
  </si>
  <si>
    <t>Các khoản đóng góp</t>
  </si>
  <si>
    <t>6301</t>
  </si>
  <si>
    <t>Bảo hiểm xã hội</t>
  </si>
  <si>
    <t>6302</t>
  </si>
  <si>
    <t>Bảo hiểm y tế</t>
  </si>
  <si>
    <t>6303</t>
  </si>
  <si>
    <t>Kinh phí công đoàn</t>
  </si>
  <si>
    <t>6304</t>
  </si>
  <si>
    <t>Bảo hiểm thất nghiệp</t>
  </si>
  <si>
    <t>Thanh toán khác cho cá nhân</t>
  </si>
  <si>
    <t>6404</t>
  </si>
  <si>
    <t>Tăng thu nhập</t>
  </si>
  <si>
    <t>2</t>
  </si>
  <si>
    <t xml:space="preserve"> Chi hàng hoá dịch vụ</t>
  </si>
  <si>
    <t>Th.toán DV công cộng</t>
  </si>
  <si>
    <t>6501</t>
  </si>
  <si>
    <t>Thanh toán tiền điện</t>
  </si>
  <si>
    <t>6502</t>
  </si>
  <si>
    <t>Thanh toán tiền nước</t>
  </si>
  <si>
    <t>6503</t>
  </si>
  <si>
    <t>Thanh toán tiền nhiên liệu</t>
  </si>
  <si>
    <t>6504</t>
  </si>
  <si>
    <t>Thanh toán tiền vệ sinh môi trường</t>
  </si>
  <si>
    <t>Vật tư VP.phẩm</t>
  </si>
  <si>
    <t>6551</t>
  </si>
  <si>
    <t>Văn phòng phẩm</t>
  </si>
  <si>
    <t>6599</t>
  </si>
  <si>
    <t>Vật tư văn phòng khác</t>
  </si>
  <si>
    <t>TT, T.truyền, liên lạc</t>
  </si>
  <si>
    <t>6601</t>
  </si>
  <si>
    <t>Cước phí điện thoại trong nước</t>
  </si>
  <si>
    <t>6603</t>
  </si>
  <si>
    <t>Cước phí bưu chính</t>
  </si>
  <si>
    <t>Quảng cáo</t>
  </si>
  <si>
    <t>6618</t>
  </si>
  <si>
    <t>Khoán điện thoại</t>
  </si>
  <si>
    <t>6649</t>
  </si>
  <si>
    <t>Khác (phần mềm chữ ký số)</t>
  </si>
  <si>
    <t>Hội nghị</t>
  </si>
  <si>
    <t>6651</t>
  </si>
  <si>
    <t xml:space="preserve">Photo tài liệu </t>
  </si>
  <si>
    <t>6699</t>
  </si>
  <si>
    <t>Công tác phí</t>
  </si>
  <si>
    <t>6701</t>
  </si>
  <si>
    <t>Tiền tàu, xe, vé máy bay</t>
  </si>
  <si>
    <t>6702</t>
  </si>
  <si>
    <t>Phụ cấp công tác phí</t>
  </si>
  <si>
    <t>6703</t>
  </si>
  <si>
    <t>Phụ cấp lưu trú</t>
  </si>
  <si>
    <t>6704</t>
  </si>
  <si>
    <t>Khoán công tác phí</t>
  </si>
  <si>
    <t>Chi phí thuê mướn</t>
  </si>
  <si>
    <t>6751</t>
  </si>
  <si>
    <t>Thuê phương tiện vận chuyển</t>
  </si>
  <si>
    <t>6754</t>
  </si>
  <si>
    <t>Chi thuê máy photo</t>
  </si>
  <si>
    <t>6757</t>
  </si>
  <si>
    <t>6799</t>
  </si>
  <si>
    <t>Sửa chữa TX-TSCĐ</t>
  </si>
  <si>
    <t>6907</t>
  </si>
  <si>
    <t>6912</t>
  </si>
  <si>
    <t>Thiết bị tin học</t>
  </si>
  <si>
    <t>6913</t>
  </si>
  <si>
    <t>Máy photocopy</t>
  </si>
  <si>
    <t>Chi Ngh.Vu CM ngành</t>
  </si>
  <si>
    <t>7001</t>
  </si>
  <si>
    <t>Chi mua hàng hóa, vật tư dùng cho chuyên môn từng ngành</t>
  </si>
  <si>
    <t xml:space="preserve">In ấn, photo tài liệu </t>
  </si>
  <si>
    <t>7012</t>
  </si>
  <si>
    <t>Hợp đồng thực hiện nhiệm vụ</t>
  </si>
  <si>
    <t>Chi hỗ trợ và giải quyết việc làm</t>
  </si>
  <si>
    <t>8049</t>
  </si>
  <si>
    <t>3</t>
  </si>
  <si>
    <t xml:space="preserve">Các khoản chi khác </t>
  </si>
  <si>
    <t>Chi khác</t>
  </si>
  <si>
    <t>Chi các khoản phí và lệ phí</t>
  </si>
  <si>
    <t>Phí mua bảo hiểm xe</t>
  </si>
  <si>
    <t>Chi tiếp khách</t>
  </si>
  <si>
    <t>Chi các khoản khác</t>
  </si>
  <si>
    <t>6608</t>
  </si>
  <si>
    <t>6605</t>
  </si>
  <si>
    <t>6902</t>
  </si>
  <si>
    <t>Sửa chữa ô tô</t>
  </si>
  <si>
    <t>Mua sắm tài sản</t>
  </si>
  <si>
    <t>6956</t>
  </si>
  <si>
    <t>Mua sắm thiết bị tin học</t>
  </si>
  <si>
    <t>III</t>
  </si>
  <si>
    <t xml:space="preserve"> TRUNG TÂM PHÁT TRIỂN QUỸ ĐẤT  </t>
  </si>
  <si>
    <t>Lập bảng</t>
  </si>
  <si>
    <t>+ KP giao thực hiện tự chủ</t>
  </si>
  <si>
    <t>- Dự toán giao đầu năm</t>
  </si>
  <si>
    <t>- Dự toán giao bổ sung trong kỳ (KP tiền tết)</t>
  </si>
  <si>
    <t>14=10+11+12+13</t>
  </si>
  <si>
    <t>9=5+6+7+8</t>
  </si>
  <si>
    <t>Dự toán giảm trong kỳ</t>
  </si>
  <si>
    <t>6606</t>
  </si>
  <si>
    <t>Chi phí khác.</t>
  </si>
  <si>
    <t>7099</t>
  </si>
  <si>
    <t>Cước phí internet</t>
  </si>
  <si>
    <t>Sách báo, tạp chí</t>
  </si>
  <si>
    <t xml:space="preserve">Chi phí khác </t>
  </si>
  <si>
    <t>Nhà cửa</t>
  </si>
  <si>
    <t xml:space="preserve">SỞ TÀI NGUYÊN VÀ MÔI TRƯỜNG </t>
  </si>
  <si>
    <t>GIÁM ĐỐC</t>
  </si>
  <si>
    <t xml:space="preserve">+ KP không giao tự chủ </t>
  </si>
  <si>
    <t>7049</t>
  </si>
  <si>
    <t xml:space="preserve">Chi phí thuê mướn </t>
  </si>
  <si>
    <t>Chi phí khác</t>
  </si>
  <si>
    <t>Chi lập các quỹ</t>
  </si>
  <si>
    <t>7952</t>
  </si>
  <si>
    <t>Qũy phúc lợi</t>
  </si>
  <si>
    <t>Mua sắm tài sản phục vụ công tác 
chuyên môn</t>
  </si>
  <si>
    <t>Các thiết bị công nghệ thông tin</t>
  </si>
  <si>
    <t>Phúc lợi tập thể</t>
  </si>
  <si>
    <t>6299</t>
  </si>
  <si>
    <t>Phạm Thị Kim Quyên</t>
  </si>
  <si>
    <t>TỔNG NGUỒN</t>
  </si>
  <si>
    <t>KINH PHÍ TỒN CHUYỂN KỲ SAU</t>
  </si>
  <si>
    <t>Tây Ninh, ngày      tháng       năm 2022</t>
  </si>
  <si>
    <t>Hoàng Văn Chiến</t>
  </si>
  <si>
    <t>Kế toán</t>
  </si>
  <si>
    <t>Dự toán năm 2021 chuyển sang</t>
  </si>
  <si>
    <t>Dự toán giao năm 2022</t>
  </si>
  <si>
    <t>Ước thực hiện năm 2022</t>
  </si>
  <si>
    <t>6949</t>
  </si>
  <si>
    <t>Các tài sản và công trình cơ sở hạ 
tầng khác</t>
  </si>
  <si>
    <t>8006</t>
  </si>
  <si>
    <t>Chi tinh giản biên chế</t>
  </si>
  <si>
    <t>BÁO CÁO THU - CHI NGÂN SÁCH NHÀ NƯỚC QUÝ III NĂM 2022</t>
  </si>
  <si>
    <t>Thực hiện quý III năm 2022</t>
  </si>
  <si>
    <t>Công cụ dụng cụ</t>
  </si>
  <si>
    <t>Nguyễn Thị Huyền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</si>
</sst>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8">
    <font>
      <sz val="12"/>
      <name val="Times New Roman"/>
      <family val="1"/>
      <charset val="163"/>
    </font>
    <font>
      <sz val="10"/>
      <name val="Arial"/>
      <family val="2"/>
    </font>
    <font>
      <sz val="10"/>
      <name val="Times New Roman"/>
      <family val="1"/>
    </font>
    <font>
      <sz val="13"/>
      <name val="Times New Roman"/>
      <family val="1"/>
      <charset val="163"/>
    </font>
    <font>
      <sz val="13"/>
      <name val="Times New Roman"/>
      <family val="1"/>
    </font>
    <font>
      <b/>
      <sz val="13"/>
      <name val="Times New Roman"/>
      <family val="1"/>
      <charset val="163"/>
    </font>
    <font>
      <sz val="12"/>
      <name val="Times New Roman"/>
      <family val="1"/>
      <charset val="163"/>
    </font>
    <font>
      <b/>
      <sz val="13"/>
      <name val="Times New Roman"/>
      <family val="1"/>
    </font>
    <font>
      <b/>
      <sz val="15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Arial"/>
      <family val="2"/>
      <charset val="163"/>
    </font>
    <font>
      <b/>
      <sz val="12"/>
      <name val="Arial"/>
      <family val="2"/>
    </font>
    <font>
      <b/>
      <sz val="14"/>
      <name val=".VnTimeH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5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15" applyNumberFormat="0" applyAlignment="0" applyProtection="0">
      <alignment horizontal="left" vertical="center"/>
    </xf>
    <xf numFmtId="0" fontId="14" fillId="0" borderId="4">
      <alignment horizontal="left" vertical="center"/>
    </xf>
    <xf numFmtId="49" fontId="15" fillId="0" borderId="11">
      <alignment vertical="center"/>
    </xf>
    <xf numFmtId="0" fontId="13" fillId="0" borderId="0"/>
  </cellStyleXfs>
  <cellXfs count="130">
    <xf numFmtId="0" fontId="0" fillId="0" borderId="0" xfId="0"/>
    <xf numFmtId="0" fontId="17" fillId="0" borderId="11" xfId="2" applyNumberFormat="1" applyFont="1" applyBorder="1" applyAlignment="1">
      <alignment horizontal="center" vertical="center"/>
    </xf>
    <xf numFmtId="3" fontId="17" fillId="0" borderId="2" xfId="1" applyNumberFormat="1" applyFont="1" applyBorder="1" applyAlignment="1">
      <alignment horizontal="center" vertical="center" wrapText="1"/>
    </xf>
    <xf numFmtId="3" fontId="16" fillId="0" borderId="9" xfId="1" applyNumberFormat="1" applyFont="1" applyBorder="1" applyAlignment="1">
      <alignment horizontal="center" vertical="center"/>
    </xf>
    <xf numFmtId="3" fontId="16" fillId="0" borderId="2" xfId="1" applyNumberFormat="1" applyFont="1" applyBorder="1" applyAlignment="1">
      <alignment horizontal="center" vertical="center" wrapText="1"/>
    </xf>
    <xf numFmtId="3" fontId="16" fillId="0" borderId="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6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43" fontId="16" fillId="0" borderId="12" xfId="2" applyFont="1" applyBorder="1" applyAlignment="1">
      <alignment horizontal="right" vertical="center"/>
    </xf>
    <xf numFmtId="1" fontId="16" fillId="0" borderId="12" xfId="2" applyNumberFormat="1" applyFont="1" applyBorder="1" applyAlignment="1">
      <alignment horizontal="center" vertical="center"/>
    </xf>
    <xf numFmtId="1" fontId="17" fillId="0" borderId="12" xfId="2" applyNumberFormat="1" applyFont="1" applyBorder="1" applyAlignment="1">
      <alignment horizontal="center" vertical="center"/>
    </xf>
    <xf numFmtId="0" fontId="17" fillId="0" borderId="12" xfId="2" applyNumberFormat="1" applyFont="1" applyBorder="1" applyAlignment="1">
      <alignment vertical="center"/>
    </xf>
    <xf numFmtId="164" fontId="17" fillId="0" borderId="12" xfId="2" applyNumberFormat="1" applyFont="1" applyBorder="1" applyAlignment="1">
      <alignment horizontal="right" vertical="center"/>
    </xf>
    <xf numFmtId="164" fontId="16" fillId="0" borderId="12" xfId="2" applyNumberFormat="1" applyFont="1" applyBorder="1" applyAlignment="1">
      <alignment horizontal="right" vertical="center"/>
    </xf>
    <xf numFmtId="3" fontId="17" fillId="0" borderId="13" xfId="0" applyNumberFormat="1" applyFont="1" applyBorder="1" applyAlignment="1">
      <alignment vertical="center"/>
    </xf>
    <xf numFmtId="43" fontId="16" fillId="0" borderId="13" xfId="2" applyFont="1" applyBorder="1" applyAlignment="1">
      <alignment horizontal="right" vertical="center"/>
    </xf>
    <xf numFmtId="1" fontId="18" fillId="0" borderId="13" xfId="2" applyNumberFormat="1" applyFont="1" applyBorder="1" applyAlignment="1">
      <alignment horizontal="center" vertical="center"/>
    </xf>
    <xf numFmtId="1" fontId="17" fillId="0" borderId="13" xfId="2" applyNumberFormat="1" applyFont="1" applyBorder="1" applyAlignment="1">
      <alignment horizontal="center" vertical="center"/>
    </xf>
    <xf numFmtId="0" fontId="17" fillId="0" borderId="13" xfId="2" applyNumberFormat="1" applyFont="1" applyBorder="1" applyAlignment="1">
      <alignment vertical="center"/>
    </xf>
    <xf numFmtId="164" fontId="17" fillId="0" borderId="13" xfId="2" applyNumberFormat="1" applyFont="1" applyBorder="1" applyAlignment="1">
      <alignment horizontal="right" vertical="center"/>
    </xf>
    <xf numFmtId="49" fontId="19" fillId="0" borderId="13" xfId="2" applyNumberFormat="1" applyFont="1" applyBorder="1" applyAlignment="1">
      <alignment horizontal="left" vertical="center"/>
    </xf>
    <xf numFmtId="43" fontId="18" fillId="0" borderId="13" xfId="2" applyFont="1" applyBorder="1" applyAlignment="1">
      <alignment horizontal="right" vertical="center"/>
    </xf>
    <xf numFmtId="43" fontId="19" fillId="0" borderId="13" xfId="2" applyFont="1" applyBorder="1" applyAlignment="1">
      <alignment horizontal="center" vertical="center"/>
    </xf>
    <xf numFmtId="49" fontId="19" fillId="0" borderId="13" xfId="2" applyNumberFormat="1" applyFont="1" applyBorder="1" applyAlignment="1">
      <alignment horizontal="left" vertical="center" wrapText="1"/>
    </xf>
    <xf numFmtId="164" fontId="19" fillId="0" borderId="13" xfId="2" applyNumberFormat="1" applyFont="1" applyBorder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43" fontId="16" fillId="0" borderId="13" xfId="2" applyFont="1" applyBorder="1" applyAlignment="1">
      <alignment vertical="center"/>
    </xf>
    <xf numFmtId="1" fontId="16" fillId="0" borderId="13" xfId="2" applyNumberFormat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center" vertical="center"/>
    </xf>
    <xf numFmtId="43" fontId="17" fillId="0" borderId="13" xfId="2" applyFont="1" applyBorder="1" applyAlignment="1">
      <alignment vertical="center"/>
    </xf>
    <xf numFmtId="164" fontId="17" fillId="0" borderId="13" xfId="2" applyNumberFormat="1" applyFont="1" applyBorder="1" applyAlignment="1">
      <alignment vertical="center"/>
    </xf>
    <xf numFmtId="164" fontId="16" fillId="0" borderId="13" xfId="2" applyNumberFormat="1" applyFont="1" applyBorder="1" applyAlignment="1">
      <alignment vertical="center"/>
    </xf>
    <xf numFmtId="1" fontId="16" fillId="0" borderId="13" xfId="1" applyNumberFormat="1" applyFont="1" applyBorder="1" applyAlignment="1">
      <alignment horizontal="center" vertical="center"/>
    </xf>
    <xf numFmtId="164" fontId="17" fillId="0" borderId="13" xfId="1" applyNumberFormat="1" applyFont="1" applyBorder="1" applyAlignment="1">
      <alignment horizontal="right" vertical="center"/>
    </xf>
    <xf numFmtId="164" fontId="16" fillId="0" borderId="13" xfId="1" applyNumberFormat="1" applyFont="1" applyBorder="1" applyAlignment="1">
      <alignment horizontal="right" vertical="center"/>
    </xf>
    <xf numFmtId="49" fontId="16" fillId="0" borderId="13" xfId="1" applyNumberFormat="1" applyFont="1" applyBorder="1" applyAlignment="1">
      <alignment horizontal="center" vertical="center"/>
    </xf>
    <xf numFmtId="3" fontId="16" fillId="0" borderId="13" xfId="1" applyNumberFormat="1" applyFont="1" applyBorder="1" applyAlignment="1">
      <alignment vertical="center"/>
    </xf>
    <xf numFmtId="164" fontId="16" fillId="0" borderId="13" xfId="2" applyNumberFormat="1" applyFont="1" applyBorder="1" applyAlignment="1">
      <alignment horizontal="right" vertical="center"/>
    </xf>
    <xf numFmtId="3" fontId="17" fillId="0" borderId="13" xfId="1" applyNumberFormat="1" applyFont="1" applyBorder="1" applyAlignment="1">
      <alignment vertical="center" wrapText="1"/>
    </xf>
    <xf numFmtId="3" fontId="17" fillId="0" borderId="13" xfId="1" applyNumberFormat="1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1" fontId="18" fillId="0" borderId="13" xfId="2" applyNumberFormat="1" applyFont="1" applyBorder="1" applyAlignment="1">
      <alignment vertical="center"/>
    </xf>
    <xf numFmtId="1" fontId="17" fillId="0" borderId="13" xfId="1" applyNumberFormat="1" applyFont="1" applyBorder="1" applyAlignment="1">
      <alignment horizontal="left" vertical="center"/>
    </xf>
    <xf numFmtId="164" fontId="17" fillId="0" borderId="13" xfId="1" applyNumberFormat="1" applyFont="1" applyFill="1" applyBorder="1" applyAlignment="1">
      <alignment horizontal="right" vertical="center"/>
    </xf>
    <xf numFmtId="164" fontId="17" fillId="0" borderId="13" xfId="1" applyNumberFormat="1" applyFont="1" applyBorder="1" applyAlignment="1">
      <alignment vertical="center"/>
    </xf>
    <xf numFmtId="164" fontId="17" fillId="2" borderId="13" xfId="1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1" fontId="17" fillId="0" borderId="13" xfId="1" applyNumberFormat="1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3" fontId="16" fillId="0" borderId="13" xfId="1" applyNumberFormat="1" applyFont="1" applyFill="1" applyBorder="1" applyAlignment="1">
      <alignment vertical="center"/>
    </xf>
    <xf numFmtId="3" fontId="17" fillId="0" borderId="13" xfId="1" applyNumberFormat="1" applyFont="1" applyFill="1" applyBorder="1" applyAlignment="1">
      <alignment vertical="center" wrapText="1"/>
    </xf>
    <xf numFmtId="3" fontId="17" fillId="0" borderId="13" xfId="1" applyNumberFormat="1" applyFont="1" applyFill="1" applyBorder="1" applyAlignment="1">
      <alignment vertical="center"/>
    </xf>
    <xf numFmtId="164" fontId="16" fillId="0" borderId="14" xfId="1" applyNumberFormat="1" applyFont="1" applyFill="1" applyBorder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17" fillId="0" borderId="13" xfId="1" applyNumberFormat="1" applyFont="1" applyBorder="1" applyAlignment="1">
      <alignment horizontal="left" vertical="center" wrapText="1"/>
    </xf>
    <xf numFmtId="43" fontId="17" fillId="0" borderId="0" xfId="0" applyNumberFormat="1" applyFont="1" applyAlignment="1">
      <alignment vertical="center"/>
    </xf>
    <xf numFmtId="164" fontId="16" fillId="0" borderId="16" xfId="2" applyNumberFormat="1" applyFont="1" applyBorder="1" applyAlignment="1">
      <alignment vertical="center"/>
    </xf>
    <xf numFmtId="43" fontId="16" fillId="0" borderId="2" xfId="2" applyFont="1" applyBorder="1" applyAlignment="1">
      <alignment horizontal="right" vertical="center"/>
    </xf>
    <xf numFmtId="164" fontId="16" fillId="0" borderId="2" xfId="2" applyNumberFormat="1" applyFont="1" applyBorder="1" applyAlignment="1">
      <alignment horizontal="right" vertical="center"/>
    </xf>
    <xf numFmtId="3" fontId="17" fillId="0" borderId="12" xfId="0" applyNumberFormat="1" applyFont="1" applyBorder="1" applyAlignment="1">
      <alignment vertical="center"/>
    </xf>
    <xf numFmtId="164" fontId="17" fillId="0" borderId="13" xfId="2" applyNumberFormat="1" applyFont="1" applyBorder="1" applyAlignment="1">
      <alignment horizontal="center" vertical="center"/>
    </xf>
    <xf numFmtId="49" fontId="17" fillId="0" borderId="13" xfId="2" applyNumberFormat="1" applyFont="1" applyBorder="1" applyAlignment="1">
      <alignment horizontal="left" vertical="center" wrapText="1"/>
    </xf>
    <xf numFmtId="0" fontId="16" fillId="0" borderId="14" xfId="0" applyFont="1" applyBorder="1" applyAlignment="1">
      <alignment vertical="center"/>
    </xf>
    <xf numFmtId="1" fontId="16" fillId="0" borderId="13" xfId="1" applyNumberFormat="1" applyFont="1" applyBorder="1" applyAlignment="1">
      <alignment horizontal="left" vertical="center"/>
    </xf>
    <xf numFmtId="164" fontId="16" fillId="0" borderId="14" xfId="2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3" fontId="16" fillId="0" borderId="13" xfId="1" applyNumberFormat="1" applyFont="1" applyBorder="1" applyAlignment="1">
      <alignment vertical="center" wrapText="1"/>
    </xf>
    <xf numFmtId="0" fontId="23" fillId="0" borderId="0" xfId="1" applyFont="1" applyAlignment="1">
      <alignment vertical="center"/>
    </xf>
    <xf numFmtId="0" fontId="24" fillId="0" borderId="1" xfId="1" applyFont="1" applyBorder="1" applyAlignment="1">
      <alignment horizontal="center" vertical="center"/>
    </xf>
    <xf numFmtId="0" fontId="26" fillId="0" borderId="11" xfId="2" applyNumberFormat="1" applyFont="1" applyBorder="1" applyAlignment="1">
      <alignment horizontal="center" vertical="center"/>
    </xf>
    <xf numFmtId="164" fontId="25" fillId="0" borderId="2" xfId="2" applyNumberFormat="1" applyFont="1" applyBorder="1" applyAlignment="1">
      <alignment horizontal="right" vertical="center"/>
    </xf>
    <xf numFmtId="164" fontId="25" fillId="0" borderId="12" xfId="2" applyNumberFormat="1" applyFont="1" applyBorder="1" applyAlignment="1">
      <alignment horizontal="right" vertical="center"/>
    </xf>
    <xf numFmtId="164" fontId="26" fillId="0" borderId="13" xfId="2" applyNumberFormat="1" applyFont="1" applyBorder="1" applyAlignment="1">
      <alignment horizontal="right" vertical="center"/>
    </xf>
    <xf numFmtId="164" fontId="27" fillId="0" borderId="13" xfId="2" applyNumberFormat="1" applyFont="1" applyBorder="1" applyAlignment="1">
      <alignment horizontal="right" vertical="center"/>
    </xf>
    <xf numFmtId="164" fontId="25" fillId="0" borderId="13" xfId="2" applyNumberFormat="1" applyFont="1" applyBorder="1" applyAlignment="1">
      <alignment vertical="center"/>
    </xf>
    <xf numFmtId="164" fontId="25" fillId="0" borderId="13" xfId="2" applyNumberFormat="1" applyFont="1" applyBorder="1" applyAlignment="1">
      <alignment horizontal="right" vertical="center"/>
    </xf>
    <xf numFmtId="164" fontId="26" fillId="0" borderId="13" xfId="2" applyNumberFormat="1" applyFont="1" applyBorder="1" applyAlignment="1">
      <alignment vertical="center"/>
    </xf>
    <xf numFmtId="164" fontId="26" fillId="0" borderId="13" xfId="1" applyNumberFormat="1" applyFont="1" applyBorder="1" applyAlignment="1">
      <alignment horizontal="right" vertical="center"/>
    </xf>
    <xf numFmtId="164" fontId="25" fillId="0" borderId="13" xfId="1" applyNumberFormat="1" applyFont="1" applyBorder="1" applyAlignment="1">
      <alignment horizontal="right" vertical="center"/>
    </xf>
    <xf numFmtId="164" fontId="26" fillId="0" borderId="13" xfId="1" applyNumberFormat="1" applyFont="1" applyBorder="1" applyAlignment="1">
      <alignment vertical="center"/>
    </xf>
    <xf numFmtId="164" fontId="26" fillId="0" borderId="13" xfId="1" applyNumberFormat="1" applyFont="1" applyFill="1" applyBorder="1" applyAlignment="1">
      <alignment horizontal="right" vertical="center"/>
    </xf>
    <xf numFmtId="164" fontId="25" fillId="0" borderId="14" xfId="1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16" fillId="0" borderId="2" xfId="1" applyNumberFormat="1" applyFont="1" applyBorder="1" applyAlignment="1">
      <alignment horizontal="center" vertical="center" wrapText="1"/>
    </xf>
    <xf numFmtId="3" fontId="16" fillId="0" borderId="9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16" fillId="0" borderId="16" xfId="2" applyFont="1" applyBorder="1" applyAlignment="1">
      <alignment horizontal="left" vertical="center"/>
    </xf>
    <xf numFmtId="43" fontId="16" fillId="0" borderId="0" xfId="2" applyFont="1" applyBorder="1" applyAlignment="1">
      <alignment horizontal="left" vertical="center"/>
    </xf>
    <xf numFmtId="43" fontId="16" fillId="0" borderId="17" xfId="2" applyFont="1" applyBorder="1" applyAlignment="1">
      <alignment horizontal="left" vertical="center"/>
    </xf>
    <xf numFmtId="43" fontId="16" fillId="0" borderId="13" xfId="2" applyFont="1" applyBorder="1" applyAlignment="1">
      <alignment horizontal="left" vertical="center"/>
    </xf>
    <xf numFmtId="1" fontId="16" fillId="0" borderId="13" xfId="1" applyNumberFormat="1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3" fontId="16" fillId="0" borderId="2" xfId="1" applyNumberFormat="1" applyFont="1" applyBorder="1" applyAlignment="1">
      <alignment horizontal="center" vertical="center"/>
    </xf>
    <xf numFmtId="3" fontId="16" fillId="0" borderId="9" xfId="1" applyNumberFormat="1" applyFont="1" applyBorder="1" applyAlignment="1">
      <alignment horizontal="center" vertical="center"/>
    </xf>
    <xf numFmtId="1" fontId="16" fillId="0" borderId="2" xfId="1" applyNumberFormat="1" applyFont="1" applyBorder="1" applyAlignment="1">
      <alignment horizontal="center" vertical="center" wrapText="1"/>
    </xf>
    <xf numFmtId="1" fontId="16" fillId="0" borderId="10" xfId="1" applyNumberFormat="1" applyFont="1" applyBorder="1" applyAlignment="1">
      <alignment horizontal="center" vertical="center" wrapText="1"/>
    </xf>
    <xf numFmtId="1" fontId="16" fillId="0" borderId="9" xfId="1" applyNumberFormat="1" applyFont="1" applyBorder="1" applyAlignment="1">
      <alignment horizontal="center" vertical="center" wrapText="1"/>
    </xf>
    <xf numFmtId="3" fontId="16" fillId="0" borderId="10" xfId="1" applyNumberFormat="1" applyFont="1" applyBorder="1" applyAlignment="1">
      <alignment horizontal="center" vertical="center" wrapText="1"/>
    </xf>
    <xf numFmtId="3" fontId="16" fillId="0" borderId="3" xfId="1" applyNumberFormat="1" applyFont="1" applyBorder="1" applyAlignment="1">
      <alignment horizontal="center" vertical="center" wrapText="1"/>
    </xf>
    <xf numFmtId="3" fontId="16" fillId="0" borderId="4" xfId="1" applyNumberFormat="1" applyFont="1" applyBorder="1" applyAlignment="1">
      <alignment horizontal="center" vertical="center" wrapText="1"/>
    </xf>
    <xf numFmtId="3" fontId="16" fillId="0" borderId="5" xfId="1" applyNumberFormat="1" applyFont="1" applyBorder="1" applyAlignment="1">
      <alignment horizontal="center" vertical="center" wrapText="1"/>
    </xf>
    <xf numFmtId="3" fontId="16" fillId="0" borderId="6" xfId="1" applyNumberFormat="1" applyFont="1" applyBorder="1" applyAlignment="1">
      <alignment horizontal="center" vertical="center" wrapText="1"/>
    </xf>
    <xf numFmtId="3" fontId="16" fillId="0" borderId="7" xfId="1" applyNumberFormat="1" applyFont="1" applyBorder="1" applyAlignment="1">
      <alignment horizontal="center" vertical="center" wrapText="1"/>
    </xf>
    <xf numFmtId="3" fontId="16" fillId="0" borderId="8" xfId="1" applyNumberFormat="1" applyFont="1" applyBorder="1" applyAlignment="1">
      <alignment horizontal="center" vertical="center" wrapText="1"/>
    </xf>
    <xf numFmtId="3" fontId="25" fillId="0" borderId="2" xfId="1" applyNumberFormat="1" applyFont="1" applyBorder="1" applyAlignment="1">
      <alignment horizontal="center" vertical="center" wrapText="1"/>
    </xf>
    <xf numFmtId="3" fontId="25" fillId="0" borderId="9" xfId="1" applyNumberFormat="1" applyFont="1" applyBorder="1" applyAlignment="1">
      <alignment horizontal="center" vertical="center" wrapText="1"/>
    </xf>
  </cellXfs>
  <cellStyles count="8">
    <cellStyle name="Comma 2" xfId="2"/>
    <cellStyle name="Comma 3" xfId="3"/>
    <cellStyle name="Header1" xfId="4"/>
    <cellStyle name="Header2" xfId="5"/>
    <cellStyle name="Hoa-Scholl" xfId="6"/>
    <cellStyle name="Normal" xfId="0" builtinId="0"/>
    <cellStyle name="Normal 2" xfId="1"/>
    <cellStyle name="Normal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03"/>
  <sheetViews>
    <sheetView tabSelected="1" topLeftCell="A13" workbookViewId="0">
      <selection activeCell="N23" sqref="N23"/>
    </sheetView>
  </sheetViews>
  <sheetFormatPr defaultRowHeight="20.25" customHeight="1"/>
  <cols>
    <col min="1" max="1" width="3.125" style="10" customWidth="1"/>
    <col min="2" max="2" width="4.75" style="63" customWidth="1"/>
    <col min="3" max="3" width="4.5" style="63" customWidth="1"/>
    <col min="4" max="4" width="22.25" style="64" customWidth="1"/>
    <col min="5" max="5" width="9.875" style="63" customWidth="1"/>
    <col min="6" max="6" width="9.375" style="63" customWidth="1"/>
    <col min="7" max="7" width="11" style="98" customWidth="1"/>
    <col min="8" max="8" width="10.25" style="63" customWidth="1"/>
    <col min="9" max="9" width="15.5" style="65" hidden="1" customWidth="1"/>
    <col min="10" max="10" width="13.125" style="10" hidden="1" customWidth="1"/>
    <col min="11" max="11" width="14.375" style="10" hidden="1" customWidth="1"/>
    <col min="12" max="12" width="14.375" style="66" hidden="1" customWidth="1"/>
    <col min="13" max="13" width="13.25" style="10" hidden="1" customWidth="1"/>
    <col min="14" max="14" width="10.5" style="65" customWidth="1"/>
    <col min="15" max="15" width="10.5" style="63" customWidth="1"/>
    <col min="16" max="16" width="8.5" style="63" customWidth="1"/>
    <col min="17" max="17" width="11" style="63" customWidth="1"/>
    <col min="18" max="18" width="9.625" style="63" customWidth="1"/>
    <col min="19" max="19" width="11.75" style="63" customWidth="1"/>
    <col min="20" max="20" width="12.125" style="10" bestFit="1" customWidth="1"/>
    <col min="21" max="21" width="12.125" style="10" customWidth="1"/>
    <col min="22" max="22" width="9" style="10"/>
    <col min="23" max="23" width="12.125" style="10" bestFit="1" customWidth="1"/>
    <col min="24" max="16384" width="9" style="10"/>
  </cols>
  <sheetData>
    <row r="1" spans="1:33" ht="20.25" customHeight="1">
      <c r="A1" s="113" t="s">
        <v>134</v>
      </c>
      <c r="B1" s="113"/>
      <c r="C1" s="113"/>
      <c r="D1" s="113"/>
      <c r="E1" s="6"/>
      <c r="F1" s="6"/>
      <c r="G1" s="83"/>
      <c r="H1" s="6"/>
      <c r="I1" s="7"/>
      <c r="J1" s="8"/>
      <c r="K1" s="8"/>
      <c r="L1" s="9"/>
      <c r="M1" s="8"/>
      <c r="N1" s="7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</row>
    <row r="2" spans="1:33" ht="20.25" customHeight="1">
      <c r="A2" s="114" t="s">
        <v>119</v>
      </c>
      <c r="B2" s="114"/>
      <c r="C2" s="114"/>
      <c r="D2" s="114"/>
      <c r="E2" s="6"/>
      <c r="F2" s="6"/>
      <c r="G2" s="83"/>
      <c r="H2" s="6"/>
      <c r="I2" s="7"/>
      <c r="J2" s="8"/>
      <c r="K2" s="8"/>
      <c r="L2" s="9"/>
      <c r="M2" s="8"/>
      <c r="N2" s="11"/>
      <c r="O2" s="6"/>
      <c r="P2" s="6"/>
      <c r="Q2" s="6"/>
      <c r="R2" s="6"/>
      <c r="S2" s="6"/>
    </row>
    <row r="3" spans="1:33" ht="12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2"/>
      <c r="O3" s="10"/>
      <c r="P3" s="10"/>
      <c r="Q3" s="10"/>
      <c r="R3" s="10"/>
      <c r="S3" s="10"/>
    </row>
    <row r="4" spans="1:33" ht="20.25" customHeight="1">
      <c r="A4" s="101" t="s">
        <v>160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</row>
    <row r="5" spans="1:33" ht="20.25" customHeight="1">
      <c r="A5" s="13"/>
      <c r="B5" s="13"/>
      <c r="C5" s="13"/>
      <c r="D5" s="13"/>
      <c r="E5" s="13"/>
      <c r="F5" s="13"/>
      <c r="G5" s="84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33" s="14" customFormat="1" ht="20.25" customHeight="1">
      <c r="A6" s="116" t="s">
        <v>0</v>
      </c>
      <c r="B6" s="118" t="s">
        <v>1</v>
      </c>
      <c r="C6" s="102" t="s">
        <v>2</v>
      </c>
      <c r="D6" s="102" t="s">
        <v>3</v>
      </c>
      <c r="E6" s="122" t="s">
        <v>161</v>
      </c>
      <c r="F6" s="123"/>
      <c r="G6" s="123"/>
      <c r="H6" s="123"/>
      <c r="I6" s="123"/>
      <c r="J6" s="123"/>
      <c r="K6" s="123"/>
      <c r="L6" s="123"/>
      <c r="M6" s="123"/>
      <c r="N6" s="124"/>
      <c r="O6" s="125" t="s">
        <v>155</v>
      </c>
      <c r="P6" s="126"/>
      <c r="Q6" s="126"/>
      <c r="R6" s="126"/>
      <c r="S6" s="127"/>
    </row>
    <row r="7" spans="1:33" s="14" customFormat="1" ht="20.25" customHeight="1">
      <c r="A7" s="117"/>
      <c r="B7" s="119"/>
      <c r="C7" s="121"/>
      <c r="D7" s="121"/>
      <c r="E7" s="102" t="s">
        <v>4</v>
      </c>
      <c r="F7" s="102" t="s">
        <v>5</v>
      </c>
      <c r="G7" s="128" t="s">
        <v>6</v>
      </c>
      <c r="H7" s="102" t="s">
        <v>7</v>
      </c>
      <c r="I7" s="2" t="s">
        <v>8</v>
      </c>
      <c r="J7" s="5" t="s">
        <v>9</v>
      </c>
      <c r="K7" s="15"/>
      <c r="L7" s="4" t="s">
        <v>8</v>
      </c>
      <c r="M7" s="4" t="s">
        <v>10</v>
      </c>
      <c r="N7" s="116" t="s">
        <v>11</v>
      </c>
      <c r="O7" s="102" t="s">
        <v>4</v>
      </c>
      <c r="P7" s="102" t="s">
        <v>5</v>
      </c>
      <c r="Q7" s="102" t="s">
        <v>6</v>
      </c>
      <c r="R7" s="102" t="s">
        <v>7</v>
      </c>
      <c r="S7" s="102" t="s">
        <v>11</v>
      </c>
    </row>
    <row r="8" spans="1:33" s="14" customFormat="1" ht="11.25" customHeight="1">
      <c r="A8" s="3"/>
      <c r="B8" s="120"/>
      <c r="C8" s="103"/>
      <c r="D8" s="103"/>
      <c r="E8" s="103"/>
      <c r="F8" s="103"/>
      <c r="G8" s="129"/>
      <c r="H8" s="103"/>
      <c r="I8" s="2" t="s">
        <v>8</v>
      </c>
      <c r="J8" s="5" t="s">
        <v>9</v>
      </c>
      <c r="K8" s="15"/>
      <c r="L8" s="4" t="s">
        <v>8</v>
      </c>
      <c r="M8" s="4" t="s">
        <v>10</v>
      </c>
      <c r="N8" s="117"/>
      <c r="O8" s="103"/>
      <c r="P8" s="103"/>
      <c r="Q8" s="103"/>
      <c r="R8" s="103"/>
      <c r="S8" s="103"/>
    </row>
    <row r="9" spans="1:33" s="14" customFormat="1" ht="20.25" customHeight="1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85">
        <v>7</v>
      </c>
      <c r="H9" s="1">
        <v>8</v>
      </c>
      <c r="I9" s="1">
        <v>10</v>
      </c>
      <c r="J9" s="1">
        <v>11</v>
      </c>
      <c r="K9" s="1">
        <v>12</v>
      </c>
      <c r="L9" s="1">
        <v>13</v>
      </c>
      <c r="M9" s="1">
        <v>14</v>
      </c>
      <c r="N9" s="1" t="s">
        <v>125</v>
      </c>
      <c r="O9" s="1">
        <v>10</v>
      </c>
      <c r="P9" s="1">
        <v>11</v>
      </c>
      <c r="Q9" s="1">
        <v>12</v>
      </c>
      <c r="R9" s="1">
        <v>13</v>
      </c>
      <c r="S9" s="1" t="s">
        <v>124</v>
      </c>
    </row>
    <row r="10" spans="1:33" s="16" customFormat="1" ht="20.25" customHeight="1">
      <c r="A10" s="73" t="s">
        <v>12</v>
      </c>
      <c r="B10" s="106" t="s">
        <v>148</v>
      </c>
      <c r="C10" s="107"/>
      <c r="D10" s="108"/>
      <c r="E10" s="74">
        <f>E12+E11-E17</f>
        <v>774000000</v>
      </c>
      <c r="F10" s="74">
        <f t="shared" ref="F10:M10" si="0">F12+F11-F17</f>
        <v>6500000</v>
      </c>
      <c r="G10" s="86">
        <f t="shared" si="0"/>
        <v>1639000000</v>
      </c>
      <c r="H10" s="74">
        <f>H12+H11</f>
        <v>126461611</v>
      </c>
      <c r="I10" s="74">
        <f t="shared" si="0"/>
        <v>0</v>
      </c>
      <c r="J10" s="74">
        <f t="shared" si="0"/>
        <v>0</v>
      </c>
      <c r="K10" s="74">
        <f t="shared" si="0"/>
        <v>0</v>
      </c>
      <c r="L10" s="74">
        <f t="shared" si="0"/>
        <v>0</v>
      </c>
      <c r="M10" s="74">
        <f t="shared" si="0"/>
        <v>0</v>
      </c>
      <c r="N10" s="74">
        <f>E10+F10+G10+H10</f>
        <v>2545961611</v>
      </c>
      <c r="O10" s="74">
        <v>774000000</v>
      </c>
      <c r="P10" s="74">
        <v>6500000</v>
      </c>
      <c r="Q10" s="74">
        <v>1639000000</v>
      </c>
      <c r="R10" s="74">
        <v>126461611</v>
      </c>
      <c r="S10" s="74">
        <f>SUM(O10:R10)</f>
        <v>2545961611</v>
      </c>
    </row>
    <row r="11" spans="1:33" s="16" customFormat="1" ht="20.25" customHeight="1">
      <c r="A11" s="17"/>
      <c r="B11" s="18"/>
      <c r="C11" s="19">
        <v>1</v>
      </c>
      <c r="D11" s="20" t="s">
        <v>153</v>
      </c>
      <c r="E11" s="21"/>
      <c r="F11" s="22"/>
      <c r="G11" s="87"/>
      <c r="H11" s="75">
        <v>126461611</v>
      </c>
      <c r="I11" s="75"/>
      <c r="J11" s="75"/>
      <c r="K11" s="75"/>
      <c r="L11" s="75"/>
      <c r="M11" s="75"/>
      <c r="N11" s="21">
        <f>SUM(E11:H11)</f>
        <v>126461611</v>
      </c>
      <c r="O11" s="21"/>
      <c r="P11" s="75"/>
      <c r="Q11" s="75"/>
      <c r="R11" s="75"/>
      <c r="S11" s="75"/>
    </row>
    <row r="12" spans="1:33" s="16" customFormat="1" ht="20.25" customHeight="1">
      <c r="A12" s="24"/>
      <c r="B12" s="25"/>
      <c r="C12" s="26">
        <v>2</v>
      </c>
      <c r="D12" s="27" t="s">
        <v>154</v>
      </c>
      <c r="E12" s="28">
        <f>E13+E16</f>
        <v>774000000</v>
      </c>
      <c r="F12" s="28">
        <f>F1+F16</f>
        <v>6500000</v>
      </c>
      <c r="G12" s="88">
        <f t="shared" ref="G12:S12" si="1">G13+G16</f>
        <v>1639000000</v>
      </c>
      <c r="H12" s="28">
        <f t="shared" si="1"/>
        <v>0</v>
      </c>
      <c r="I12" s="28">
        <f t="shared" si="1"/>
        <v>0</v>
      </c>
      <c r="J12" s="28">
        <f t="shared" si="1"/>
        <v>0</v>
      </c>
      <c r="K12" s="28">
        <f t="shared" si="1"/>
        <v>0</v>
      </c>
      <c r="L12" s="28">
        <f t="shared" si="1"/>
        <v>0</v>
      </c>
      <c r="M12" s="28">
        <f t="shared" si="1"/>
        <v>0</v>
      </c>
      <c r="N12" s="28">
        <f t="shared" ref="N12:N15" si="2">SUM(E12:H12)</f>
        <v>2419500000</v>
      </c>
      <c r="O12" s="28">
        <f t="shared" si="1"/>
        <v>0</v>
      </c>
      <c r="P12" s="28">
        <f t="shared" si="1"/>
        <v>0</v>
      </c>
      <c r="Q12" s="28">
        <f t="shared" si="1"/>
        <v>0</v>
      </c>
      <c r="R12" s="28">
        <f t="shared" si="1"/>
        <v>0</v>
      </c>
      <c r="S12" s="28">
        <f t="shared" si="1"/>
        <v>0</v>
      </c>
    </row>
    <row r="13" spans="1:33" s="16" customFormat="1" ht="20.25" customHeight="1">
      <c r="A13" s="24"/>
      <c r="B13" s="25"/>
      <c r="C13" s="25"/>
      <c r="D13" s="29" t="s">
        <v>122</v>
      </c>
      <c r="E13" s="28">
        <f>SUM(E14:E15)</f>
        <v>774000000</v>
      </c>
      <c r="F13" s="28">
        <f t="shared" ref="F13:M13" si="3">SUM(F14:F15)</f>
        <v>0</v>
      </c>
      <c r="G13" s="88">
        <f>G14</f>
        <v>1639000000</v>
      </c>
      <c r="H13" s="28">
        <f t="shared" si="3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2"/>
        <v>2413000000</v>
      </c>
      <c r="O13" s="28"/>
      <c r="P13" s="28"/>
      <c r="Q13" s="28"/>
      <c r="R13" s="28"/>
      <c r="S13" s="28"/>
    </row>
    <row r="14" spans="1:33" s="16" customFormat="1" ht="20.25" customHeight="1">
      <c r="A14" s="24"/>
      <c r="B14" s="25"/>
      <c r="C14" s="25"/>
      <c r="D14" s="29" t="s">
        <v>121</v>
      </c>
      <c r="E14" s="28"/>
      <c r="F14" s="28"/>
      <c r="G14" s="88">
        <v>1639000000</v>
      </c>
      <c r="H14" s="28"/>
      <c r="I14" s="28"/>
      <c r="J14" s="28"/>
      <c r="K14" s="28"/>
      <c r="L14" s="28"/>
      <c r="M14" s="28"/>
      <c r="N14" s="28">
        <f t="shared" si="2"/>
        <v>1639000000</v>
      </c>
      <c r="O14" s="28"/>
      <c r="P14" s="28"/>
      <c r="Q14" s="28"/>
      <c r="R14" s="28"/>
      <c r="S14" s="28"/>
    </row>
    <row r="15" spans="1:33" s="16" customFormat="1" ht="20.25" customHeight="1">
      <c r="A15" s="24"/>
      <c r="B15" s="25"/>
      <c r="C15" s="25"/>
      <c r="D15" s="29" t="s">
        <v>136</v>
      </c>
      <c r="E15" s="28">
        <v>774000000</v>
      </c>
      <c r="F15" s="28"/>
      <c r="G15" s="88"/>
      <c r="H15" s="28"/>
      <c r="I15" s="28"/>
      <c r="J15" s="28"/>
      <c r="K15" s="28"/>
      <c r="L15" s="28"/>
      <c r="M15" s="28"/>
      <c r="N15" s="28">
        <f t="shared" si="2"/>
        <v>774000000</v>
      </c>
      <c r="O15" s="28"/>
      <c r="P15" s="28"/>
      <c r="Q15" s="28"/>
      <c r="R15" s="28"/>
      <c r="S15" s="28"/>
    </row>
    <row r="16" spans="1:33" s="16" customFormat="1" ht="27" customHeight="1">
      <c r="A16" s="30"/>
      <c r="B16" s="25"/>
      <c r="C16" s="31"/>
      <c r="D16" s="32" t="s">
        <v>123</v>
      </c>
      <c r="E16" s="28"/>
      <c r="F16" s="28">
        <v>6500000</v>
      </c>
      <c r="G16" s="89"/>
      <c r="H16" s="33"/>
      <c r="I16" s="33"/>
      <c r="J16" s="33"/>
      <c r="K16" s="33"/>
      <c r="L16" s="33"/>
      <c r="M16" s="33"/>
      <c r="N16" s="28">
        <v>6500000</v>
      </c>
      <c r="O16" s="28"/>
      <c r="P16" s="33"/>
      <c r="Q16" s="33"/>
      <c r="R16" s="33"/>
      <c r="S16" s="33"/>
      <c r="U16" s="16">
        <f>51250000-9000000-3900000-12000000-6000000-5000000-4000000-10500000-850000</f>
        <v>0</v>
      </c>
    </row>
    <row r="17" spans="1:23" s="16" customFormat="1" ht="20.25" customHeight="1">
      <c r="A17" s="24"/>
      <c r="B17" s="36"/>
      <c r="C17" s="76">
        <v>3</v>
      </c>
      <c r="D17" s="77" t="s">
        <v>126</v>
      </c>
      <c r="E17" s="28"/>
      <c r="F17" s="28"/>
      <c r="G17" s="88"/>
      <c r="H17" s="28"/>
      <c r="I17" s="28"/>
      <c r="J17" s="28"/>
      <c r="K17" s="28"/>
      <c r="L17" s="28"/>
      <c r="M17" s="28"/>
      <c r="N17" s="28">
        <f t="shared" ref="N17" si="4">E17+F17+G17+H17</f>
        <v>0</v>
      </c>
      <c r="O17" s="28"/>
      <c r="P17" s="28"/>
      <c r="Q17" s="28"/>
      <c r="R17" s="28"/>
      <c r="S17" s="28"/>
    </row>
    <row r="18" spans="1:23" s="16" customFormat="1" ht="20.25" customHeight="1">
      <c r="A18" s="46" t="s">
        <v>13</v>
      </c>
      <c r="B18" s="109" t="s">
        <v>14</v>
      </c>
      <c r="C18" s="109"/>
      <c r="D18" s="109"/>
      <c r="E18" s="40">
        <f>E41</f>
        <v>8192000</v>
      </c>
      <c r="F18" s="40">
        <f>F30</f>
        <v>0</v>
      </c>
      <c r="G18" s="90">
        <f>G19+G41+G91</f>
        <v>232590432</v>
      </c>
      <c r="H18" s="90">
        <f>H19+H41</f>
        <v>0</v>
      </c>
      <c r="I18" s="40">
        <f t="shared" ref="I18:N18" si="5">I19+I41+I91</f>
        <v>0</v>
      </c>
      <c r="J18" s="40">
        <f t="shared" si="5"/>
        <v>45047340</v>
      </c>
      <c r="K18" s="40">
        <f t="shared" si="5"/>
        <v>2691000</v>
      </c>
      <c r="L18" s="40">
        <f t="shared" si="5"/>
        <v>0</v>
      </c>
      <c r="M18" s="40">
        <f t="shared" si="5"/>
        <v>0</v>
      </c>
      <c r="N18" s="40">
        <f t="shared" si="5"/>
        <v>240782432</v>
      </c>
      <c r="O18" s="40">
        <f>O41</f>
        <v>81448400</v>
      </c>
      <c r="P18" s="40">
        <v>6500000</v>
      </c>
      <c r="Q18" s="40">
        <f>Q19+Q41+Q91</f>
        <v>1003985576</v>
      </c>
      <c r="R18" s="40">
        <v>126461611</v>
      </c>
      <c r="S18" s="40">
        <f>SUM(O18:R18)</f>
        <v>1218395587</v>
      </c>
      <c r="T18" s="34"/>
    </row>
    <row r="19" spans="1:23" s="16" customFormat="1" ht="20.25" customHeight="1">
      <c r="A19" s="44">
        <v>1</v>
      </c>
      <c r="B19" s="50" t="s">
        <v>15</v>
      </c>
      <c r="C19" s="50"/>
      <c r="D19" s="50"/>
      <c r="E19" s="40"/>
      <c r="F19" s="40">
        <f>F30</f>
        <v>0</v>
      </c>
      <c r="G19" s="90">
        <f>G20+G23+G26+G32+G39+G30</f>
        <v>190631688</v>
      </c>
      <c r="H19" s="40">
        <f t="shared" ref="H19:M19" si="6">H20+H23+H26+H32+H39</f>
        <v>0</v>
      </c>
      <c r="I19" s="40">
        <f t="shared" si="6"/>
        <v>0</v>
      </c>
      <c r="J19" s="40">
        <f t="shared" si="6"/>
        <v>45047340</v>
      </c>
      <c r="K19" s="40">
        <f t="shared" si="6"/>
        <v>2691000</v>
      </c>
      <c r="L19" s="40">
        <f t="shared" si="6"/>
        <v>0</v>
      </c>
      <c r="M19" s="40">
        <f t="shared" si="6"/>
        <v>0</v>
      </c>
      <c r="N19" s="40">
        <f>N20+N23+N26+N30+N32</f>
        <v>190631688</v>
      </c>
      <c r="O19" s="40"/>
      <c r="P19" s="40"/>
      <c r="Q19" s="40">
        <f>Q20+Q23+Q26+Q32</f>
        <v>835237125</v>
      </c>
      <c r="R19" s="40">
        <f>R20+R23+R26+R32</f>
        <v>0</v>
      </c>
      <c r="S19" s="40">
        <f>S20+S23+S26+S30+S32</f>
        <v>835237125</v>
      </c>
      <c r="T19" s="72"/>
    </row>
    <row r="20" spans="1:23" s="16" customFormat="1" ht="20.25" customHeight="1">
      <c r="A20" s="35"/>
      <c r="B20" s="36">
        <v>6000</v>
      </c>
      <c r="C20" s="35"/>
      <c r="D20" s="35" t="s">
        <v>16</v>
      </c>
      <c r="E20" s="46">
        <f t="shared" ref="E20:M20" si="7">SUM(E21:E21)</f>
        <v>0</v>
      </c>
      <c r="F20" s="46">
        <f t="shared" si="7"/>
        <v>0</v>
      </c>
      <c r="G20" s="91">
        <f t="shared" si="7"/>
        <v>131418000</v>
      </c>
      <c r="H20" s="46">
        <f t="shared" si="7"/>
        <v>0</v>
      </c>
      <c r="I20" s="46">
        <f t="shared" si="7"/>
        <v>0</v>
      </c>
      <c r="J20" s="46">
        <f t="shared" si="7"/>
        <v>0</v>
      </c>
      <c r="K20" s="46">
        <f t="shared" si="7"/>
        <v>0</v>
      </c>
      <c r="L20" s="46">
        <f t="shared" si="7"/>
        <v>0</v>
      </c>
      <c r="M20" s="46">
        <f t="shared" si="7"/>
        <v>0</v>
      </c>
      <c r="N20" s="40">
        <f>SUM(E20:H20)</f>
        <v>131418000</v>
      </c>
      <c r="O20" s="40">
        <f>O21</f>
        <v>0</v>
      </c>
      <c r="P20" s="46"/>
      <c r="Q20" s="40">
        <f>Q21</f>
        <v>588833100</v>
      </c>
      <c r="R20" s="40">
        <f t="shared" ref="R20" si="8">R21</f>
        <v>0</v>
      </c>
      <c r="S20" s="40">
        <f>O20+P20+Q20+R20</f>
        <v>588833100</v>
      </c>
      <c r="T20" s="34"/>
      <c r="U20" s="34"/>
    </row>
    <row r="21" spans="1:23" s="16" customFormat="1" ht="20.25" customHeight="1">
      <c r="A21" s="35"/>
      <c r="B21" s="36"/>
      <c r="C21" s="37">
        <v>6001</v>
      </c>
      <c r="D21" s="38" t="s">
        <v>17</v>
      </c>
      <c r="E21" s="39"/>
      <c r="F21" s="39"/>
      <c r="G21" s="92">
        <v>131418000</v>
      </c>
      <c r="H21" s="39"/>
      <c r="I21" s="39"/>
      <c r="J21" s="39"/>
      <c r="K21" s="39"/>
      <c r="L21" s="40"/>
      <c r="M21" s="39"/>
      <c r="N21" s="39">
        <f>SUM(E21:H21)</f>
        <v>131418000</v>
      </c>
      <c r="O21" s="39"/>
      <c r="P21" s="39"/>
      <c r="Q21" s="39">
        <f>457415100+G21</f>
        <v>588833100</v>
      </c>
      <c r="R21" s="39"/>
      <c r="S21" s="39">
        <f>O21+P21+Q21+R21</f>
        <v>588833100</v>
      </c>
      <c r="T21" s="34"/>
      <c r="U21" s="34"/>
    </row>
    <row r="22" spans="1:23" s="16" customFormat="1" ht="20.25" hidden="1" customHeight="1">
      <c r="A22" s="37"/>
      <c r="B22" s="41"/>
      <c r="C22" s="37" t="s">
        <v>18</v>
      </c>
      <c r="D22" s="38" t="s">
        <v>19</v>
      </c>
      <c r="E22" s="42"/>
      <c r="F22" s="42"/>
      <c r="G22" s="93"/>
      <c r="H22" s="42"/>
      <c r="I22" s="42"/>
      <c r="J22" s="42"/>
      <c r="K22" s="42"/>
      <c r="L22" s="43"/>
      <c r="M22" s="42"/>
      <c r="N22" s="42">
        <f>SUM(E22:H22)</f>
        <v>0</v>
      </c>
      <c r="O22" s="40" t="e">
        <f>O24+O27+#REF!+O34+O36+O46+O51+O55+O66+#REF!+O86+#REF!</f>
        <v>#REF!</v>
      </c>
      <c r="P22" s="42"/>
      <c r="Q22" s="39"/>
      <c r="R22" s="39"/>
      <c r="S22" s="39" t="e">
        <f t="shared" ref="S22:S42" si="9">O22+P22+Q22+R22</f>
        <v>#REF!</v>
      </c>
      <c r="T22" s="34"/>
      <c r="U22" s="34"/>
    </row>
    <row r="23" spans="1:23" s="16" customFormat="1" ht="20.25" customHeight="1">
      <c r="A23" s="44"/>
      <c r="B23" s="41">
        <v>6050</v>
      </c>
      <c r="C23" s="37"/>
      <c r="D23" s="45" t="s">
        <v>20</v>
      </c>
      <c r="E23" s="46">
        <f>SUM(E24:E24)</f>
        <v>0</v>
      </c>
      <c r="F23" s="46">
        <f>SUM(F24:F24)</f>
        <v>0</v>
      </c>
      <c r="G23" s="91">
        <f>SUM(G24:G25)</f>
        <v>14739603</v>
      </c>
      <c r="H23" s="46">
        <f t="shared" ref="H23:N23" si="10">SUM(H24:H25)</f>
        <v>0</v>
      </c>
      <c r="I23" s="46">
        <f t="shared" si="10"/>
        <v>0</v>
      </c>
      <c r="J23" s="46">
        <f t="shared" si="10"/>
        <v>22523670</v>
      </c>
      <c r="K23" s="46">
        <f t="shared" si="10"/>
        <v>1345500</v>
      </c>
      <c r="L23" s="46">
        <f t="shared" si="10"/>
        <v>0</v>
      </c>
      <c r="M23" s="46">
        <f t="shared" si="10"/>
        <v>0</v>
      </c>
      <c r="N23" s="46">
        <f t="shared" si="10"/>
        <v>14739603</v>
      </c>
      <c r="O23" s="40"/>
      <c r="P23" s="46"/>
      <c r="Q23" s="46">
        <f>SUM(Q24:Q25)</f>
        <v>58958417</v>
      </c>
      <c r="R23" s="46">
        <f t="shared" ref="R23" si="11">SUM(R24:R25)</f>
        <v>0</v>
      </c>
      <c r="S23" s="40">
        <f t="shared" si="9"/>
        <v>58958417</v>
      </c>
      <c r="T23" s="34"/>
      <c r="U23" s="34"/>
      <c r="W23" s="34"/>
    </row>
    <row r="24" spans="1:23" s="16" customFormat="1" ht="24.75" customHeight="1">
      <c r="A24" s="37"/>
      <c r="B24" s="41"/>
      <c r="C24" s="37" t="s">
        <v>21</v>
      </c>
      <c r="D24" s="47" t="s">
        <v>22</v>
      </c>
      <c r="E24" s="42"/>
      <c r="F24" s="42"/>
      <c r="G24" s="93">
        <v>14739603</v>
      </c>
      <c r="H24" s="42"/>
      <c r="I24" s="42"/>
      <c r="J24" s="42">
        <f>7225335+15298335</f>
        <v>22523670</v>
      </c>
      <c r="K24" s="42">
        <v>1345500</v>
      </c>
      <c r="L24" s="43">
        <f>SUM(M24)</f>
        <v>0</v>
      </c>
      <c r="M24" s="42"/>
      <c r="N24" s="42">
        <f>SUM(E24:H24)</f>
        <v>14739603</v>
      </c>
      <c r="O24" s="39"/>
      <c r="P24" s="42"/>
      <c r="Q24" s="39">
        <f>G24+44218814</f>
        <v>58958417</v>
      </c>
      <c r="R24" s="39">
        <f>H24*2</f>
        <v>0</v>
      </c>
      <c r="S24" s="39">
        <f t="shared" si="9"/>
        <v>58958417</v>
      </c>
      <c r="T24" s="34"/>
      <c r="U24" s="34"/>
    </row>
    <row r="25" spans="1:23" s="16" customFormat="1" ht="20.25" customHeight="1">
      <c r="A25" s="37"/>
      <c r="B25" s="41"/>
      <c r="C25" s="37" t="s">
        <v>23</v>
      </c>
      <c r="D25" s="47" t="s">
        <v>24</v>
      </c>
      <c r="E25" s="42"/>
      <c r="F25" s="42"/>
      <c r="G25" s="93"/>
      <c r="H25" s="42"/>
      <c r="I25" s="42"/>
      <c r="J25" s="42"/>
      <c r="K25" s="42"/>
      <c r="L25" s="43"/>
      <c r="M25" s="42"/>
      <c r="N25" s="42">
        <f>SUM(E25:H25)</f>
        <v>0</v>
      </c>
      <c r="O25" s="39"/>
      <c r="P25" s="42"/>
      <c r="Q25" s="39"/>
      <c r="R25" s="39">
        <f t="shared" ref="R25" si="12">H25*2</f>
        <v>0</v>
      </c>
      <c r="S25" s="39">
        <f t="shared" si="9"/>
        <v>0</v>
      </c>
      <c r="T25" s="34"/>
      <c r="U25" s="34"/>
    </row>
    <row r="26" spans="1:23" s="16" customFormat="1" ht="17.25" customHeight="1">
      <c r="A26" s="44"/>
      <c r="B26" s="41">
        <v>6100</v>
      </c>
      <c r="C26" s="37"/>
      <c r="D26" s="45" t="s">
        <v>25</v>
      </c>
      <c r="E26" s="43">
        <f t="shared" ref="E26:O26" si="13">SUM(E27:E29)</f>
        <v>0</v>
      </c>
      <c r="F26" s="43">
        <f t="shared" si="13"/>
        <v>0</v>
      </c>
      <c r="G26" s="94">
        <f t="shared" si="13"/>
        <v>9387000</v>
      </c>
      <c r="H26" s="43">
        <f t="shared" si="13"/>
        <v>0</v>
      </c>
      <c r="I26" s="43">
        <f t="shared" si="13"/>
        <v>0</v>
      </c>
      <c r="J26" s="43">
        <f t="shared" si="13"/>
        <v>0</v>
      </c>
      <c r="K26" s="43">
        <f t="shared" si="13"/>
        <v>0</v>
      </c>
      <c r="L26" s="43">
        <f t="shared" si="13"/>
        <v>0</v>
      </c>
      <c r="M26" s="43">
        <f t="shared" si="13"/>
        <v>0</v>
      </c>
      <c r="N26" s="43">
        <f t="shared" si="13"/>
        <v>9387000</v>
      </c>
      <c r="O26" s="43">
        <f t="shared" si="13"/>
        <v>0</v>
      </c>
      <c r="P26" s="43"/>
      <c r="Q26" s="43">
        <f>SUM(Q27:Q29)</f>
        <v>44736000</v>
      </c>
      <c r="R26" s="43">
        <f>SUM(R27:R29)</f>
        <v>0</v>
      </c>
      <c r="S26" s="40">
        <f t="shared" si="9"/>
        <v>44736000</v>
      </c>
      <c r="T26" s="34"/>
      <c r="U26" s="34"/>
    </row>
    <row r="27" spans="1:23" s="16" customFormat="1" ht="20.25" customHeight="1">
      <c r="A27" s="37"/>
      <c r="B27" s="41"/>
      <c r="C27" s="37" t="s">
        <v>26</v>
      </c>
      <c r="D27" s="48" t="s">
        <v>27</v>
      </c>
      <c r="E27" s="42"/>
      <c r="F27" s="42"/>
      <c r="G27" s="93">
        <v>8493000</v>
      </c>
      <c r="H27" s="42"/>
      <c r="I27" s="42">
        <f t="shared" ref="I27:I36" si="14">SUM(J27:K27)</f>
        <v>0</v>
      </c>
      <c r="J27" s="42">
        <v>0</v>
      </c>
      <c r="K27" s="42">
        <v>0</v>
      </c>
      <c r="L27" s="43"/>
      <c r="M27" s="42"/>
      <c r="N27" s="42">
        <f>SUM(E27:H27)</f>
        <v>8493000</v>
      </c>
      <c r="O27" s="40"/>
      <c r="P27" s="42"/>
      <c r="Q27" s="39">
        <f>27267000+8493000</f>
        <v>35760000</v>
      </c>
      <c r="R27" s="39">
        <f>H27*2</f>
        <v>0</v>
      </c>
      <c r="S27" s="39">
        <f t="shared" si="9"/>
        <v>35760000</v>
      </c>
      <c r="T27" s="34"/>
      <c r="U27" s="71"/>
    </row>
    <row r="28" spans="1:23" s="16" customFormat="1" ht="20.25" customHeight="1">
      <c r="A28" s="37"/>
      <c r="B28" s="41"/>
      <c r="C28" s="37" t="s">
        <v>28</v>
      </c>
      <c r="D28" s="48" t="s">
        <v>29</v>
      </c>
      <c r="E28" s="42"/>
      <c r="F28" s="42"/>
      <c r="G28" s="93">
        <v>894000</v>
      </c>
      <c r="H28" s="42"/>
      <c r="I28" s="42">
        <f t="shared" si="14"/>
        <v>0</v>
      </c>
      <c r="J28" s="42"/>
      <c r="K28" s="42"/>
      <c r="L28" s="43"/>
      <c r="M28" s="42"/>
      <c r="N28" s="42">
        <f>SUM(E28:H28)</f>
        <v>894000</v>
      </c>
      <c r="O28" s="39">
        <f t="shared" ref="O28:O38" si="15">E28</f>
        <v>0</v>
      </c>
      <c r="P28" s="42"/>
      <c r="Q28" s="39">
        <f>2682000+894000</f>
        <v>3576000</v>
      </c>
      <c r="R28" s="39">
        <f>H28*2</f>
        <v>0</v>
      </c>
      <c r="S28" s="39">
        <f t="shared" si="9"/>
        <v>3576000</v>
      </c>
      <c r="T28" s="34"/>
      <c r="U28" s="34"/>
    </row>
    <row r="29" spans="1:23" s="16" customFormat="1" ht="20.25" customHeight="1">
      <c r="A29" s="37"/>
      <c r="B29" s="41"/>
      <c r="C29" s="37" t="s">
        <v>30</v>
      </c>
      <c r="D29" s="48" t="s">
        <v>31</v>
      </c>
      <c r="E29" s="42"/>
      <c r="F29" s="42"/>
      <c r="G29" s="93">
        <v>0</v>
      </c>
      <c r="H29" s="42"/>
      <c r="I29" s="42">
        <f t="shared" si="14"/>
        <v>0</v>
      </c>
      <c r="J29" s="42"/>
      <c r="K29" s="42"/>
      <c r="L29" s="43"/>
      <c r="M29" s="42"/>
      <c r="N29" s="42">
        <f>SUM(E29:H29)</f>
        <v>0</v>
      </c>
      <c r="O29" s="39">
        <f t="shared" si="15"/>
        <v>0</v>
      </c>
      <c r="P29" s="42"/>
      <c r="Q29" s="39">
        <v>5400000</v>
      </c>
      <c r="R29" s="39">
        <f t="shared" ref="R29" si="16">H29*2</f>
        <v>0</v>
      </c>
      <c r="S29" s="39">
        <f t="shared" si="9"/>
        <v>5400000</v>
      </c>
      <c r="T29" s="34"/>
      <c r="U29" s="34"/>
    </row>
    <row r="30" spans="1:23" s="16" customFormat="1" ht="20.25" customHeight="1">
      <c r="A30" s="37"/>
      <c r="B30" s="41">
        <v>6250</v>
      </c>
      <c r="C30" s="37"/>
      <c r="D30" s="45" t="s">
        <v>145</v>
      </c>
      <c r="E30" s="42"/>
      <c r="F30" s="43">
        <f>F31</f>
        <v>0</v>
      </c>
      <c r="G30" s="94">
        <f>G31</f>
        <v>2208000</v>
      </c>
      <c r="H30" s="42"/>
      <c r="I30" s="42"/>
      <c r="J30" s="42"/>
      <c r="K30" s="42"/>
      <c r="L30" s="43"/>
      <c r="M30" s="42"/>
      <c r="N30" s="43">
        <f t="shared" ref="N30:N31" si="17">SUM(E30:H30)</f>
        <v>2208000</v>
      </c>
      <c r="O30" s="39"/>
      <c r="P30" s="43">
        <f>P31</f>
        <v>0</v>
      </c>
      <c r="Q30" s="39"/>
      <c r="R30" s="39"/>
      <c r="S30" s="40">
        <f>P30</f>
        <v>0</v>
      </c>
      <c r="T30" s="34"/>
      <c r="U30" s="34"/>
    </row>
    <row r="31" spans="1:23" s="16" customFormat="1" ht="20.25" customHeight="1">
      <c r="A31" s="37"/>
      <c r="B31" s="41"/>
      <c r="C31" s="37" t="s">
        <v>146</v>
      </c>
      <c r="D31" s="48" t="s">
        <v>106</v>
      </c>
      <c r="E31" s="42"/>
      <c r="F31" s="42"/>
      <c r="G31" s="93">
        <v>2208000</v>
      </c>
      <c r="H31" s="42"/>
      <c r="I31" s="42"/>
      <c r="J31" s="42"/>
      <c r="K31" s="42"/>
      <c r="L31" s="43"/>
      <c r="M31" s="42"/>
      <c r="N31" s="42">
        <f t="shared" si="17"/>
        <v>2208000</v>
      </c>
      <c r="O31" s="39"/>
      <c r="P31" s="42"/>
      <c r="Q31" s="39">
        <f>2208000+43908000</f>
        <v>46116000</v>
      </c>
      <c r="R31" s="39"/>
      <c r="S31" s="39">
        <v>9800000</v>
      </c>
      <c r="T31" s="34"/>
      <c r="U31" s="34"/>
    </row>
    <row r="32" spans="1:23" s="16" customFormat="1" ht="20.25" customHeight="1">
      <c r="A32" s="44"/>
      <c r="B32" s="41">
        <v>6300</v>
      </c>
      <c r="C32" s="37"/>
      <c r="D32" s="45" t="s">
        <v>32</v>
      </c>
      <c r="E32" s="43">
        <f t="shared" ref="E32:N32" si="18">SUM(E33:E36)</f>
        <v>0</v>
      </c>
      <c r="F32" s="43">
        <f t="shared" si="18"/>
        <v>0</v>
      </c>
      <c r="G32" s="94">
        <f>SUM(G33:G36)</f>
        <v>32879085</v>
      </c>
      <c r="H32" s="43">
        <f t="shared" si="18"/>
        <v>0</v>
      </c>
      <c r="I32" s="43">
        <f t="shared" si="18"/>
        <v>0</v>
      </c>
      <c r="J32" s="43">
        <f t="shared" si="18"/>
        <v>0</v>
      </c>
      <c r="K32" s="43">
        <f t="shared" si="18"/>
        <v>0</v>
      </c>
      <c r="L32" s="43">
        <f t="shared" si="18"/>
        <v>0</v>
      </c>
      <c r="M32" s="43">
        <f t="shared" si="18"/>
        <v>0</v>
      </c>
      <c r="N32" s="43">
        <f t="shared" si="18"/>
        <v>32879085</v>
      </c>
      <c r="O32" s="39">
        <f t="shared" si="15"/>
        <v>0</v>
      </c>
      <c r="P32" s="43"/>
      <c r="Q32" s="43">
        <f>SUM(Q33:Q36)</f>
        <v>142709608</v>
      </c>
      <c r="R32" s="43">
        <f>SUM(R33:R36)</f>
        <v>0</v>
      </c>
      <c r="S32" s="40">
        <f t="shared" si="9"/>
        <v>142709608</v>
      </c>
      <c r="T32" s="34"/>
      <c r="U32" s="34"/>
    </row>
    <row r="33" spans="1:21" s="16" customFormat="1" ht="20.25" customHeight="1">
      <c r="A33" s="37"/>
      <c r="B33" s="41"/>
      <c r="C33" s="37" t="s">
        <v>33</v>
      </c>
      <c r="D33" s="48" t="s">
        <v>34</v>
      </c>
      <c r="E33" s="42"/>
      <c r="F33" s="42"/>
      <c r="G33" s="93">
        <v>24484425</v>
      </c>
      <c r="H33" s="42"/>
      <c r="I33" s="42">
        <f t="shared" si="14"/>
        <v>0</v>
      </c>
      <c r="J33" s="42">
        <v>0</v>
      </c>
      <c r="K33" s="42">
        <v>0</v>
      </c>
      <c r="L33" s="43"/>
      <c r="M33" s="42"/>
      <c r="N33" s="42">
        <f>SUM(E33:H33)</f>
        <v>24484425</v>
      </c>
      <c r="O33" s="39">
        <f t="shared" si="15"/>
        <v>0</v>
      </c>
      <c r="P33" s="42"/>
      <c r="Q33" s="39">
        <f>80749599+24484425</f>
        <v>105234024</v>
      </c>
      <c r="R33" s="39">
        <f t="shared" ref="R33:R45" si="19">H33*2</f>
        <v>0</v>
      </c>
      <c r="S33" s="39">
        <f t="shared" si="9"/>
        <v>105234024</v>
      </c>
      <c r="T33" s="34"/>
      <c r="U33" s="34"/>
    </row>
    <row r="34" spans="1:21" s="16" customFormat="1" ht="20.25" customHeight="1">
      <c r="A34" s="37"/>
      <c r="B34" s="41"/>
      <c r="C34" s="37" t="s">
        <v>35</v>
      </c>
      <c r="D34" s="48" t="s">
        <v>36</v>
      </c>
      <c r="E34" s="42"/>
      <c r="F34" s="42"/>
      <c r="G34" s="93">
        <v>4197330</v>
      </c>
      <c r="H34" s="42"/>
      <c r="I34" s="42">
        <f t="shared" si="14"/>
        <v>0</v>
      </c>
      <c r="J34" s="42"/>
      <c r="K34" s="42"/>
      <c r="L34" s="43"/>
      <c r="M34" s="42"/>
      <c r="N34" s="42">
        <f>SUM(E34:H34)</f>
        <v>4197330</v>
      </c>
      <c r="O34" s="39">
        <f t="shared" si="15"/>
        <v>0</v>
      </c>
      <c r="P34" s="42"/>
      <c r="Q34" s="39">
        <f>14540463+4197330</f>
        <v>18737793</v>
      </c>
      <c r="R34" s="39">
        <f t="shared" si="19"/>
        <v>0</v>
      </c>
      <c r="S34" s="39">
        <f t="shared" si="9"/>
        <v>18737793</v>
      </c>
      <c r="T34" s="34"/>
      <c r="U34" s="34"/>
    </row>
    <row r="35" spans="1:21" s="16" customFormat="1" ht="20.25" customHeight="1">
      <c r="A35" s="37"/>
      <c r="B35" s="41"/>
      <c r="C35" s="37" t="s">
        <v>37</v>
      </c>
      <c r="D35" s="48" t="s">
        <v>38</v>
      </c>
      <c r="E35" s="42"/>
      <c r="F35" s="42"/>
      <c r="G35" s="93">
        <v>2798220</v>
      </c>
      <c r="H35" s="42"/>
      <c r="I35" s="42">
        <f t="shared" si="14"/>
        <v>0</v>
      </c>
      <c r="J35" s="42">
        <v>0</v>
      </c>
      <c r="K35" s="42">
        <v>0</v>
      </c>
      <c r="L35" s="43"/>
      <c r="M35" s="42"/>
      <c r="N35" s="42">
        <f>SUM(E35:H35)</f>
        <v>2798220</v>
      </c>
      <c r="O35" s="39">
        <f t="shared" si="15"/>
        <v>0</v>
      </c>
      <c r="P35" s="42"/>
      <c r="Q35" s="39">
        <f>9693642+2798220</f>
        <v>12491862</v>
      </c>
      <c r="R35" s="39">
        <f t="shared" si="19"/>
        <v>0</v>
      </c>
      <c r="S35" s="39">
        <f t="shared" si="9"/>
        <v>12491862</v>
      </c>
      <c r="T35" s="34"/>
      <c r="U35" s="34"/>
    </row>
    <row r="36" spans="1:21" s="16" customFormat="1" ht="20.25" customHeight="1">
      <c r="A36" s="37"/>
      <c r="B36" s="41"/>
      <c r="C36" s="37" t="s">
        <v>39</v>
      </c>
      <c r="D36" s="48" t="s">
        <v>40</v>
      </c>
      <c r="E36" s="42"/>
      <c r="F36" s="42"/>
      <c r="G36" s="93">
        <v>1399110</v>
      </c>
      <c r="H36" s="42"/>
      <c r="I36" s="42">
        <f t="shared" si="14"/>
        <v>0</v>
      </c>
      <c r="J36" s="42"/>
      <c r="K36" s="42"/>
      <c r="L36" s="43"/>
      <c r="M36" s="42"/>
      <c r="N36" s="42">
        <f>SUM(E36:H36)</f>
        <v>1399110</v>
      </c>
      <c r="O36" s="39">
        <f t="shared" si="15"/>
        <v>0</v>
      </c>
      <c r="P36" s="42"/>
      <c r="Q36" s="39">
        <f>4846819+1399110</f>
        <v>6245929</v>
      </c>
      <c r="R36" s="39">
        <f t="shared" si="19"/>
        <v>0</v>
      </c>
      <c r="S36" s="39">
        <f t="shared" si="9"/>
        <v>6245929</v>
      </c>
      <c r="T36" s="34"/>
      <c r="U36" s="34"/>
    </row>
    <row r="37" spans="1:21" s="16" customFormat="1" ht="20.25" hidden="1" customHeight="1">
      <c r="A37" s="37"/>
      <c r="B37" s="41">
        <v>6400</v>
      </c>
      <c r="C37" s="37"/>
      <c r="D37" s="45" t="s">
        <v>41</v>
      </c>
      <c r="E37" s="43">
        <f>SUM(E38:E38)</f>
        <v>0</v>
      </c>
      <c r="F37" s="43">
        <f>SUM(F38:F38)</f>
        <v>0</v>
      </c>
      <c r="G37" s="94">
        <f t="shared" ref="G37:P37" si="20">SUM(G38:G38)</f>
        <v>0</v>
      </c>
      <c r="H37" s="43">
        <f t="shared" si="20"/>
        <v>0</v>
      </c>
      <c r="I37" s="43">
        <f t="shared" si="20"/>
        <v>0</v>
      </c>
      <c r="J37" s="43">
        <f t="shared" si="20"/>
        <v>160000</v>
      </c>
      <c r="K37" s="43">
        <f t="shared" si="20"/>
        <v>0</v>
      </c>
      <c r="L37" s="43">
        <f t="shared" si="20"/>
        <v>0</v>
      </c>
      <c r="M37" s="43">
        <f t="shared" si="20"/>
        <v>0</v>
      </c>
      <c r="N37" s="42">
        <f t="shared" ref="N37:N95" si="21">SUM(E37:H37)</f>
        <v>0</v>
      </c>
      <c r="O37" s="39">
        <f t="shared" si="15"/>
        <v>0</v>
      </c>
      <c r="P37" s="43">
        <f t="shared" si="20"/>
        <v>0</v>
      </c>
      <c r="Q37" s="39">
        <f t="shared" ref="Q37:Q95" si="22">G37*2</f>
        <v>0</v>
      </c>
      <c r="R37" s="39">
        <f t="shared" si="19"/>
        <v>0</v>
      </c>
      <c r="S37" s="39">
        <f t="shared" si="9"/>
        <v>0</v>
      </c>
      <c r="T37" s="34"/>
      <c r="U37" s="34"/>
    </row>
    <row r="38" spans="1:21" s="16" customFormat="1" ht="20.25" hidden="1" customHeight="1">
      <c r="A38" s="37"/>
      <c r="B38" s="41"/>
      <c r="C38" s="37" t="s">
        <v>42</v>
      </c>
      <c r="D38" s="48" t="s">
        <v>43</v>
      </c>
      <c r="E38" s="49"/>
      <c r="F38" s="49"/>
      <c r="G38" s="93"/>
      <c r="H38" s="42"/>
      <c r="I38" s="42"/>
      <c r="J38" s="42">
        <v>160000</v>
      </c>
      <c r="K38" s="42"/>
      <c r="L38" s="43"/>
      <c r="M38" s="42"/>
      <c r="N38" s="42">
        <f t="shared" si="21"/>
        <v>0</v>
      </c>
      <c r="O38" s="39">
        <f t="shared" si="15"/>
        <v>0</v>
      </c>
      <c r="P38" s="49"/>
      <c r="Q38" s="39">
        <f t="shared" si="22"/>
        <v>0</v>
      </c>
      <c r="R38" s="39">
        <f t="shared" si="19"/>
        <v>0</v>
      </c>
      <c r="S38" s="39">
        <f t="shared" si="9"/>
        <v>0</v>
      </c>
      <c r="T38" s="34"/>
      <c r="U38" s="34"/>
    </row>
    <row r="39" spans="1:21" s="16" customFormat="1" ht="20.25" customHeight="1">
      <c r="A39" s="37"/>
      <c r="B39" s="41">
        <v>7950</v>
      </c>
      <c r="C39" s="37"/>
      <c r="D39" s="45" t="s">
        <v>140</v>
      </c>
      <c r="E39" s="49"/>
      <c r="F39" s="46"/>
      <c r="G39" s="91">
        <f t="shared" ref="G39:N39" si="23">SUM(G40:G40)</f>
        <v>0</v>
      </c>
      <c r="H39" s="46">
        <f t="shared" si="23"/>
        <v>0</v>
      </c>
      <c r="I39" s="46">
        <f t="shared" si="23"/>
        <v>0</v>
      </c>
      <c r="J39" s="46">
        <f t="shared" si="23"/>
        <v>22523670</v>
      </c>
      <c r="K39" s="46">
        <f t="shared" si="23"/>
        <v>1345500</v>
      </c>
      <c r="L39" s="46">
        <f t="shared" si="23"/>
        <v>0</v>
      </c>
      <c r="M39" s="46">
        <f t="shared" si="23"/>
        <v>0</v>
      </c>
      <c r="N39" s="46">
        <f t="shared" si="23"/>
        <v>0</v>
      </c>
      <c r="O39" s="39">
        <f t="shared" ref="O39:O40" si="24">E39</f>
        <v>0</v>
      </c>
      <c r="P39" s="46">
        <f>P40</f>
        <v>0</v>
      </c>
      <c r="Q39" s="46"/>
      <c r="R39" s="46"/>
      <c r="S39" s="40">
        <f t="shared" ref="S39:S40" si="25">O39+P39+Q39+R39</f>
        <v>0</v>
      </c>
      <c r="T39" s="34"/>
      <c r="U39" s="34"/>
    </row>
    <row r="40" spans="1:21" s="16" customFormat="1" ht="20.25" customHeight="1">
      <c r="A40" s="37"/>
      <c r="B40" s="41"/>
      <c r="C40" s="37" t="s">
        <v>141</v>
      </c>
      <c r="D40" s="48" t="s">
        <v>142</v>
      </c>
      <c r="E40" s="49"/>
      <c r="F40" s="42"/>
      <c r="G40" s="93"/>
      <c r="H40" s="42">
        <v>0</v>
      </c>
      <c r="I40" s="42"/>
      <c r="J40" s="42">
        <f>7225335+15298335</f>
        <v>22523670</v>
      </c>
      <c r="K40" s="42">
        <v>1345500</v>
      </c>
      <c r="L40" s="43">
        <f>SUM(M40)</f>
        <v>0</v>
      </c>
      <c r="M40" s="42"/>
      <c r="N40" s="42">
        <f>SUM(E40:H40)</f>
        <v>0</v>
      </c>
      <c r="O40" s="39">
        <f t="shared" si="24"/>
        <v>0</v>
      </c>
      <c r="P40" s="42"/>
      <c r="Q40" s="39"/>
      <c r="R40" s="42"/>
      <c r="S40" s="39">
        <f t="shared" si="25"/>
        <v>0</v>
      </c>
      <c r="T40" s="34"/>
      <c r="U40" s="34"/>
    </row>
    <row r="41" spans="1:21" s="16" customFormat="1" ht="15" customHeight="1">
      <c r="A41" s="37" t="s">
        <v>44</v>
      </c>
      <c r="B41" s="50" t="s">
        <v>45</v>
      </c>
      <c r="C41" s="50"/>
      <c r="D41" s="50"/>
      <c r="E41" s="46">
        <f>E51+E67+E80+E82</f>
        <v>8192000</v>
      </c>
      <c r="F41" s="46">
        <f>F42+F47+F51+F67+F82</f>
        <v>0</v>
      </c>
      <c r="G41" s="91">
        <f>G42+G47+G51+G62+G67+G72+G82</f>
        <v>41892744</v>
      </c>
      <c r="H41" s="46">
        <f>H42+H47+H51+H59+H62+H67+H72+H78+H82+H88</f>
        <v>0</v>
      </c>
      <c r="I41" s="46"/>
      <c r="J41" s="46"/>
      <c r="K41" s="46"/>
      <c r="L41" s="46"/>
      <c r="M41" s="46"/>
      <c r="N41" s="43">
        <f t="shared" si="21"/>
        <v>50084744</v>
      </c>
      <c r="O41" s="40">
        <f>O51+O82</f>
        <v>81448400</v>
      </c>
      <c r="P41" s="46"/>
      <c r="Q41" s="40">
        <f>Q42+Q47+Q51+Q62+Q67</f>
        <v>160959813</v>
      </c>
      <c r="R41" s="40">
        <f>R42+R47+R51+R62+R67+R72+R82</f>
        <v>0</v>
      </c>
      <c r="S41" s="40">
        <f t="shared" si="9"/>
        <v>242408213</v>
      </c>
      <c r="T41" s="34"/>
      <c r="U41" s="34"/>
    </row>
    <row r="42" spans="1:21" s="16" customFormat="1" ht="15" customHeight="1">
      <c r="A42" s="44"/>
      <c r="B42" s="41">
        <v>6500</v>
      </c>
      <c r="C42" s="37"/>
      <c r="D42" s="45" t="s">
        <v>46</v>
      </c>
      <c r="E42" s="43">
        <f>SUM(E43:E46)</f>
        <v>0</v>
      </c>
      <c r="F42" s="43"/>
      <c r="G42" s="94">
        <f>SUM(G43:G46)</f>
        <v>2047564</v>
      </c>
      <c r="H42" s="43"/>
      <c r="I42" s="43"/>
      <c r="J42" s="43"/>
      <c r="K42" s="43"/>
      <c r="L42" s="43"/>
      <c r="M42" s="43"/>
      <c r="N42" s="43">
        <f t="shared" si="21"/>
        <v>2047564</v>
      </c>
      <c r="O42" s="39"/>
      <c r="P42" s="43"/>
      <c r="Q42" s="40">
        <f>SUM(Q43:Q45)</f>
        <v>13701555</v>
      </c>
      <c r="R42" s="40">
        <f t="shared" ref="R42" si="26">SUM(R43:R45)</f>
        <v>0</v>
      </c>
      <c r="S42" s="40">
        <f t="shared" si="9"/>
        <v>13701555</v>
      </c>
      <c r="T42" s="34"/>
      <c r="U42" s="34"/>
    </row>
    <row r="43" spans="1:21" s="16" customFormat="1" ht="15" customHeight="1">
      <c r="A43" s="37"/>
      <c r="B43" s="41"/>
      <c r="C43" s="37" t="s">
        <v>47</v>
      </c>
      <c r="D43" s="48" t="s">
        <v>48</v>
      </c>
      <c r="E43" s="42"/>
      <c r="F43" s="42"/>
      <c r="G43" s="93">
        <v>1493374</v>
      </c>
      <c r="H43" s="42"/>
      <c r="I43" s="42"/>
      <c r="J43" s="42"/>
      <c r="K43" s="42"/>
      <c r="L43" s="43"/>
      <c r="M43" s="42"/>
      <c r="N43" s="42">
        <f t="shared" si="21"/>
        <v>1493374</v>
      </c>
      <c r="O43" s="39"/>
      <c r="P43" s="42"/>
      <c r="Q43" s="39">
        <f>9521563+1493374</f>
        <v>11014937</v>
      </c>
      <c r="R43" s="39">
        <f t="shared" si="19"/>
        <v>0</v>
      </c>
      <c r="S43" s="39">
        <f t="shared" ref="S43:S97" si="27">SUM(O43:R43)</f>
        <v>11014937</v>
      </c>
      <c r="T43" s="34"/>
      <c r="U43" s="34"/>
    </row>
    <row r="44" spans="1:21" s="16" customFormat="1" ht="15" customHeight="1">
      <c r="A44" s="37"/>
      <c r="B44" s="41"/>
      <c r="C44" s="37" t="s">
        <v>49</v>
      </c>
      <c r="D44" s="48" t="s">
        <v>50</v>
      </c>
      <c r="E44" s="42"/>
      <c r="F44" s="42"/>
      <c r="G44" s="93">
        <v>554190</v>
      </c>
      <c r="H44" s="42"/>
      <c r="I44" s="42"/>
      <c r="J44" s="42"/>
      <c r="K44" s="42"/>
      <c r="L44" s="43"/>
      <c r="M44" s="42"/>
      <c r="N44" s="42">
        <f t="shared" si="21"/>
        <v>554190</v>
      </c>
      <c r="O44" s="39"/>
      <c r="P44" s="42"/>
      <c r="Q44" s="39">
        <f>2132428+554190</f>
        <v>2686618</v>
      </c>
      <c r="R44" s="39">
        <f t="shared" si="19"/>
        <v>0</v>
      </c>
      <c r="S44" s="39">
        <f t="shared" si="27"/>
        <v>2686618</v>
      </c>
      <c r="T44" s="34"/>
      <c r="U44" s="34"/>
    </row>
    <row r="45" spans="1:21" s="16" customFormat="1" ht="15" customHeight="1">
      <c r="A45" s="37"/>
      <c r="B45" s="41"/>
      <c r="C45" s="37" t="s">
        <v>51</v>
      </c>
      <c r="D45" s="48" t="s">
        <v>52</v>
      </c>
      <c r="E45" s="42"/>
      <c r="F45" s="42"/>
      <c r="G45" s="93"/>
      <c r="H45" s="42"/>
      <c r="I45" s="42"/>
      <c r="J45" s="42"/>
      <c r="K45" s="42"/>
      <c r="L45" s="43"/>
      <c r="M45" s="42"/>
      <c r="N45" s="42">
        <f t="shared" si="21"/>
        <v>0</v>
      </c>
      <c r="O45" s="39"/>
      <c r="P45" s="42"/>
      <c r="Q45" s="39">
        <f t="shared" si="22"/>
        <v>0</v>
      </c>
      <c r="R45" s="39">
        <f t="shared" si="19"/>
        <v>0</v>
      </c>
      <c r="S45" s="39">
        <f t="shared" si="27"/>
        <v>0</v>
      </c>
      <c r="T45" s="34"/>
      <c r="U45" s="34"/>
    </row>
    <row r="46" spans="1:21" s="16" customFormat="1" ht="15" customHeight="1">
      <c r="A46" s="37"/>
      <c r="B46" s="41"/>
      <c r="C46" s="37" t="s">
        <v>53</v>
      </c>
      <c r="D46" s="70" t="s">
        <v>54</v>
      </c>
      <c r="E46" s="42"/>
      <c r="F46" s="42"/>
      <c r="G46" s="93"/>
      <c r="H46" s="42"/>
      <c r="I46" s="42"/>
      <c r="J46" s="42"/>
      <c r="K46" s="42"/>
      <c r="L46" s="43"/>
      <c r="M46" s="42"/>
      <c r="N46" s="42">
        <f t="shared" si="21"/>
        <v>0</v>
      </c>
      <c r="O46" s="39"/>
      <c r="P46" s="42"/>
      <c r="Q46" s="39">
        <f t="shared" si="22"/>
        <v>0</v>
      </c>
      <c r="R46" s="42"/>
      <c r="S46" s="39">
        <f t="shared" si="27"/>
        <v>0</v>
      </c>
      <c r="T46" s="34"/>
      <c r="U46" s="34"/>
    </row>
    <row r="47" spans="1:21" s="16" customFormat="1" ht="15" customHeight="1">
      <c r="A47" s="37"/>
      <c r="B47" s="79">
        <v>6550</v>
      </c>
      <c r="C47" s="51"/>
      <c r="D47" s="79" t="s">
        <v>55</v>
      </c>
      <c r="E47" s="43">
        <f>SUM(E48:E50)</f>
        <v>0</v>
      </c>
      <c r="F47" s="43"/>
      <c r="G47" s="94">
        <f t="shared" ref="G47:M47" si="28">SUM(G48:G50)</f>
        <v>6754698</v>
      </c>
      <c r="H47" s="43">
        <f t="shared" si="28"/>
        <v>0</v>
      </c>
      <c r="I47" s="43">
        <f t="shared" si="28"/>
        <v>0</v>
      </c>
      <c r="J47" s="43">
        <f t="shared" si="28"/>
        <v>0</v>
      </c>
      <c r="K47" s="43">
        <f t="shared" si="28"/>
        <v>0</v>
      </c>
      <c r="L47" s="43">
        <f t="shared" si="28"/>
        <v>0</v>
      </c>
      <c r="M47" s="43">
        <f t="shared" si="28"/>
        <v>0</v>
      </c>
      <c r="N47" s="43">
        <f t="shared" si="21"/>
        <v>6754698</v>
      </c>
      <c r="O47" s="43">
        <f>SUM(O48:O50)</f>
        <v>0</v>
      </c>
      <c r="P47" s="43"/>
      <c r="Q47" s="40">
        <f>SUM(Q48:Q50)</f>
        <v>29331396</v>
      </c>
      <c r="R47" s="43"/>
      <c r="S47" s="40">
        <f t="shared" si="27"/>
        <v>29331396</v>
      </c>
      <c r="T47" s="34"/>
      <c r="U47" s="34"/>
    </row>
    <row r="48" spans="1:21" s="16" customFormat="1" ht="15" customHeight="1">
      <c r="A48" s="37"/>
      <c r="B48" s="51"/>
      <c r="C48" s="51" t="s">
        <v>56</v>
      </c>
      <c r="D48" s="51" t="s">
        <v>57</v>
      </c>
      <c r="E48" s="42"/>
      <c r="F48" s="42"/>
      <c r="G48" s="93">
        <v>3232000</v>
      </c>
      <c r="H48" s="42"/>
      <c r="I48" s="42"/>
      <c r="J48" s="42"/>
      <c r="K48" s="42"/>
      <c r="L48" s="42"/>
      <c r="M48" s="42"/>
      <c r="N48" s="42">
        <f t="shared" si="21"/>
        <v>3232000</v>
      </c>
      <c r="O48" s="39">
        <f>E48*2</f>
        <v>0</v>
      </c>
      <c r="P48" s="42"/>
      <c r="Q48" s="39">
        <f>13769000+3232000</f>
        <v>17001000</v>
      </c>
      <c r="R48" s="42"/>
      <c r="S48" s="39">
        <f t="shared" si="27"/>
        <v>17001000</v>
      </c>
      <c r="T48" s="34"/>
      <c r="U48" s="34"/>
    </row>
    <row r="49" spans="1:21" s="16" customFormat="1" ht="15" customHeight="1">
      <c r="A49" s="37"/>
      <c r="B49" s="51"/>
      <c r="C49" s="51">
        <v>6552</v>
      </c>
      <c r="D49" s="51" t="s">
        <v>162</v>
      </c>
      <c r="E49" s="42"/>
      <c r="F49" s="42"/>
      <c r="G49" s="93">
        <v>700000</v>
      </c>
      <c r="H49" s="42"/>
      <c r="I49" s="42"/>
      <c r="J49" s="42"/>
      <c r="K49" s="42"/>
      <c r="L49" s="42"/>
      <c r="M49" s="42"/>
      <c r="N49" s="42"/>
      <c r="O49" s="39"/>
      <c r="P49" s="42"/>
      <c r="Q49" s="39">
        <v>1400000</v>
      </c>
      <c r="R49" s="42"/>
      <c r="S49" s="39">
        <v>1400000</v>
      </c>
      <c r="T49" s="34"/>
      <c r="U49" s="34"/>
    </row>
    <row r="50" spans="1:21" s="16" customFormat="1" ht="15" customHeight="1">
      <c r="A50" s="37"/>
      <c r="B50" s="51"/>
      <c r="C50" s="51" t="s">
        <v>58</v>
      </c>
      <c r="D50" s="51" t="s">
        <v>59</v>
      </c>
      <c r="E50" s="42"/>
      <c r="F50" s="42"/>
      <c r="G50" s="93">
        <v>2822698</v>
      </c>
      <c r="H50" s="42"/>
      <c r="I50" s="42"/>
      <c r="J50" s="42"/>
      <c r="K50" s="42"/>
      <c r="L50" s="42"/>
      <c r="M50" s="42"/>
      <c r="N50" s="42">
        <f t="shared" si="21"/>
        <v>2822698</v>
      </c>
      <c r="O50" s="39"/>
      <c r="P50" s="42"/>
      <c r="Q50" s="39">
        <f>8107698+2822698</f>
        <v>10930396</v>
      </c>
      <c r="R50" s="42"/>
      <c r="S50" s="39">
        <f t="shared" si="27"/>
        <v>10930396</v>
      </c>
      <c r="T50" s="34"/>
      <c r="U50" s="34"/>
    </row>
    <row r="51" spans="1:21" s="16" customFormat="1" ht="15" customHeight="1">
      <c r="A51" s="37"/>
      <c r="B51" s="41">
        <v>6600</v>
      </c>
      <c r="C51" s="37"/>
      <c r="D51" s="45" t="s">
        <v>60</v>
      </c>
      <c r="E51" s="43">
        <f>SUM(E52:E58)</f>
        <v>2800000</v>
      </c>
      <c r="F51" s="43"/>
      <c r="G51" s="94">
        <f>SUM(G52:G58)</f>
        <v>5720482</v>
      </c>
      <c r="H51" s="43"/>
      <c r="I51" s="43"/>
      <c r="J51" s="43"/>
      <c r="K51" s="43"/>
      <c r="L51" s="43"/>
      <c r="M51" s="43"/>
      <c r="N51" s="43">
        <f t="shared" si="21"/>
        <v>8520482</v>
      </c>
      <c r="O51" s="43">
        <f>O55</f>
        <v>8400000</v>
      </c>
      <c r="P51" s="43"/>
      <c r="Q51" s="40">
        <f>SUM(Q52:Q58)</f>
        <v>11588861</v>
      </c>
      <c r="R51" s="43"/>
      <c r="S51" s="40">
        <f t="shared" si="27"/>
        <v>19988861</v>
      </c>
      <c r="T51" s="34"/>
      <c r="U51" s="34"/>
    </row>
    <row r="52" spans="1:21" s="16" customFormat="1" ht="15" customHeight="1">
      <c r="A52" s="37"/>
      <c r="B52" s="41"/>
      <c r="C52" s="37" t="s">
        <v>61</v>
      </c>
      <c r="D52" s="48" t="s">
        <v>62</v>
      </c>
      <c r="E52" s="42"/>
      <c r="F52" s="42"/>
      <c r="G52" s="93">
        <v>445479</v>
      </c>
      <c r="H52" s="42"/>
      <c r="I52" s="42"/>
      <c r="J52" s="43"/>
      <c r="K52" s="43"/>
      <c r="L52" s="42"/>
      <c r="M52" s="43"/>
      <c r="N52" s="42">
        <f t="shared" si="21"/>
        <v>445479</v>
      </c>
      <c r="O52" s="39"/>
      <c r="P52" s="42"/>
      <c r="Q52" s="39">
        <f>1509370+445479</f>
        <v>1954849</v>
      </c>
      <c r="R52" s="42"/>
      <c r="S52" s="39">
        <f t="shared" si="27"/>
        <v>1954849</v>
      </c>
      <c r="T52" s="34"/>
      <c r="U52" s="34"/>
    </row>
    <row r="53" spans="1:21" s="16" customFormat="1" ht="15" customHeight="1">
      <c r="A53" s="37"/>
      <c r="B53" s="41"/>
      <c r="C53" s="37" t="s">
        <v>63</v>
      </c>
      <c r="D53" s="48" t="s">
        <v>64</v>
      </c>
      <c r="E53" s="42"/>
      <c r="F53" s="42"/>
      <c r="G53" s="93">
        <v>0</v>
      </c>
      <c r="H53" s="42"/>
      <c r="I53" s="42"/>
      <c r="J53" s="43"/>
      <c r="K53" s="43"/>
      <c r="L53" s="42"/>
      <c r="M53" s="43"/>
      <c r="N53" s="42">
        <f t="shared" si="21"/>
        <v>0</v>
      </c>
      <c r="O53" s="39"/>
      <c r="P53" s="42"/>
      <c r="Q53" s="39">
        <f t="shared" si="22"/>
        <v>0</v>
      </c>
      <c r="R53" s="42"/>
      <c r="S53" s="39">
        <f t="shared" si="27"/>
        <v>0</v>
      </c>
      <c r="T53" s="34"/>
      <c r="U53" s="34"/>
    </row>
    <row r="54" spans="1:21" s="16" customFormat="1" ht="15" customHeight="1">
      <c r="A54" s="37"/>
      <c r="B54" s="41"/>
      <c r="C54" s="37" t="s">
        <v>112</v>
      </c>
      <c r="D54" s="48" t="s">
        <v>130</v>
      </c>
      <c r="E54" s="42"/>
      <c r="F54" s="42"/>
      <c r="G54" s="93">
        <v>645003</v>
      </c>
      <c r="H54" s="42"/>
      <c r="I54" s="42"/>
      <c r="J54" s="43"/>
      <c r="K54" s="43"/>
      <c r="L54" s="42"/>
      <c r="M54" s="43"/>
      <c r="N54" s="42">
        <f t="shared" si="21"/>
        <v>645003</v>
      </c>
      <c r="O54" s="39"/>
      <c r="P54" s="42"/>
      <c r="Q54" s="39">
        <f>1935009+645003</f>
        <v>2580012</v>
      </c>
      <c r="R54" s="42"/>
      <c r="S54" s="39">
        <f t="shared" si="27"/>
        <v>2580012</v>
      </c>
      <c r="T54" s="34"/>
      <c r="U54" s="34"/>
    </row>
    <row r="55" spans="1:21" s="16" customFormat="1" ht="15" customHeight="1">
      <c r="A55" s="37"/>
      <c r="B55" s="41"/>
      <c r="C55" s="37" t="s">
        <v>127</v>
      </c>
      <c r="D55" s="48" t="s">
        <v>65</v>
      </c>
      <c r="E55" s="42">
        <v>2800000</v>
      </c>
      <c r="F55" s="42"/>
      <c r="G55" s="93">
        <v>4000000</v>
      </c>
      <c r="H55" s="42"/>
      <c r="I55" s="42"/>
      <c r="J55" s="42"/>
      <c r="K55" s="42"/>
      <c r="L55" s="42"/>
      <c r="M55" s="42"/>
      <c r="N55" s="42">
        <f t="shared" si="21"/>
        <v>6800000</v>
      </c>
      <c r="O55" s="39">
        <f>4400000+2800000+1200000</f>
        <v>8400000</v>
      </c>
      <c r="P55" s="42"/>
      <c r="Q55" s="39">
        <v>4000000</v>
      </c>
      <c r="R55" s="42"/>
      <c r="S55" s="39">
        <f t="shared" si="27"/>
        <v>12400000</v>
      </c>
      <c r="T55" s="34"/>
      <c r="U55" s="34"/>
    </row>
    <row r="56" spans="1:21" s="16" customFormat="1" ht="15" customHeight="1">
      <c r="A56" s="37"/>
      <c r="B56" s="41"/>
      <c r="C56" s="37" t="s">
        <v>111</v>
      </c>
      <c r="D56" s="48" t="s">
        <v>131</v>
      </c>
      <c r="E56" s="42"/>
      <c r="F56" s="42"/>
      <c r="G56" s="93">
        <v>0</v>
      </c>
      <c r="H56" s="42"/>
      <c r="I56" s="42"/>
      <c r="J56" s="42"/>
      <c r="K56" s="42"/>
      <c r="L56" s="42"/>
      <c r="M56" s="42"/>
      <c r="N56" s="42">
        <f t="shared" si="21"/>
        <v>0</v>
      </c>
      <c r="O56" s="39">
        <f t="shared" ref="O56:O69" si="29">E56*2</f>
        <v>0</v>
      </c>
      <c r="P56" s="42"/>
      <c r="Q56" s="39">
        <v>1524000</v>
      </c>
      <c r="R56" s="42"/>
      <c r="S56" s="39">
        <f t="shared" si="27"/>
        <v>1524000</v>
      </c>
      <c r="T56" s="34"/>
      <c r="U56" s="34"/>
    </row>
    <row r="57" spans="1:21" s="16" customFormat="1" ht="15" customHeight="1">
      <c r="A57" s="37"/>
      <c r="B57" s="41"/>
      <c r="C57" s="37" t="s">
        <v>66</v>
      </c>
      <c r="D57" s="48" t="s">
        <v>67</v>
      </c>
      <c r="E57" s="42"/>
      <c r="F57" s="42"/>
      <c r="G57" s="93">
        <v>300000</v>
      </c>
      <c r="H57" s="42"/>
      <c r="I57" s="42"/>
      <c r="J57" s="42"/>
      <c r="K57" s="42"/>
      <c r="L57" s="42"/>
      <c r="M57" s="42"/>
      <c r="N57" s="42">
        <f t="shared" si="21"/>
        <v>300000</v>
      </c>
      <c r="O57" s="39">
        <f t="shared" si="29"/>
        <v>0</v>
      </c>
      <c r="P57" s="42"/>
      <c r="Q57" s="39">
        <v>1200000</v>
      </c>
      <c r="R57" s="42"/>
      <c r="S57" s="39">
        <f t="shared" si="27"/>
        <v>1200000</v>
      </c>
      <c r="T57" s="34"/>
      <c r="U57" s="34"/>
    </row>
    <row r="58" spans="1:21" s="16" customFormat="1" ht="15" customHeight="1">
      <c r="A58" s="37"/>
      <c r="B58" s="41"/>
      <c r="C58" s="37" t="s">
        <v>68</v>
      </c>
      <c r="D58" s="48" t="s">
        <v>69</v>
      </c>
      <c r="E58" s="42"/>
      <c r="F58" s="42"/>
      <c r="G58" s="93">
        <v>330000</v>
      </c>
      <c r="H58" s="42"/>
      <c r="I58" s="42"/>
      <c r="J58" s="42"/>
      <c r="K58" s="42"/>
      <c r="L58" s="42"/>
      <c r="M58" s="42"/>
      <c r="N58" s="42">
        <f t="shared" si="21"/>
        <v>330000</v>
      </c>
      <c r="O58" s="39">
        <f t="shared" si="29"/>
        <v>0</v>
      </c>
      <c r="P58" s="42"/>
      <c r="Q58" s="39">
        <v>330000</v>
      </c>
      <c r="R58" s="42"/>
      <c r="S58" s="39">
        <f t="shared" si="27"/>
        <v>330000</v>
      </c>
      <c r="T58" s="34"/>
      <c r="U58" s="34"/>
    </row>
    <row r="59" spans="1:21" s="16" customFormat="1" ht="15" customHeight="1">
      <c r="A59" s="48"/>
      <c r="B59" s="41">
        <v>6650</v>
      </c>
      <c r="C59" s="37"/>
      <c r="D59" s="45" t="s">
        <v>70</v>
      </c>
      <c r="E59" s="43"/>
      <c r="F59" s="43"/>
      <c r="G59" s="94"/>
      <c r="H59" s="43"/>
      <c r="I59" s="43"/>
      <c r="J59" s="43"/>
      <c r="K59" s="43"/>
      <c r="L59" s="43"/>
      <c r="M59" s="43"/>
      <c r="N59" s="42">
        <f t="shared" si="21"/>
        <v>0</v>
      </c>
      <c r="O59" s="39">
        <f t="shared" si="29"/>
        <v>0</v>
      </c>
      <c r="P59" s="43"/>
      <c r="Q59" s="39">
        <f t="shared" si="22"/>
        <v>0</v>
      </c>
      <c r="R59" s="43"/>
      <c r="S59" s="39">
        <f t="shared" si="27"/>
        <v>0</v>
      </c>
      <c r="T59" s="34"/>
      <c r="U59" s="34"/>
    </row>
    <row r="60" spans="1:21" s="16" customFormat="1" ht="15" customHeight="1">
      <c r="A60" s="48"/>
      <c r="B60" s="41"/>
      <c r="C60" s="37" t="s">
        <v>71</v>
      </c>
      <c r="D60" s="48" t="s">
        <v>72</v>
      </c>
      <c r="E60" s="43"/>
      <c r="F60" s="43"/>
      <c r="G60" s="93"/>
      <c r="H60" s="43"/>
      <c r="I60" s="43"/>
      <c r="J60" s="43"/>
      <c r="K60" s="43"/>
      <c r="L60" s="42"/>
      <c r="M60" s="46"/>
      <c r="N60" s="42">
        <f t="shared" si="21"/>
        <v>0</v>
      </c>
      <c r="O60" s="39">
        <f t="shared" si="29"/>
        <v>0</v>
      </c>
      <c r="P60" s="43"/>
      <c r="Q60" s="39">
        <f t="shared" si="22"/>
        <v>0</v>
      </c>
      <c r="R60" s="43"/>
      <c r="S60" s="39">
        <f t="shared" si="27"/>
        <v>0</v>
      </c>
      <c r="T60" s="34"/>
      <c r="U60" s="34"/>
    </row>
    <row r="61" spans="1:21" s="16" customFormat="1" ht="15" customHeight="1">
      <c r="A61" s="48"/>
      <c r="B61" s="41"/>
      <c r="C61" s="37" t="s">
        <v>73</v>
      </c>
      <c r="D61" s="48" t="s">
        <v>132</v>
      </c>
      <c r="E61" s="53"/>
      <c r="F61" s="53"/>
      <c r="G61" s="95"/>
      <c r="H61" s="53"/>
      <c r="I61" s="42"/>
      <c r="J61" s="53"/>
      <c r="K61" s="53"/>
      <c r="L61" s="42"/>
      <c r="M61" s="53"/>
      <c r="N61" s="42">
        <f t="shared" si="21"/>
        <v>0</v>
      </c>
      <c r="O61" s="39">
        <f t="shared" si="29"/>
        <v>0</v>
      </c>
      <c r="P61" s="53"/>
      <c r="Q61" s="39">
        <f t="shared" si="22"/>
        <v>0</v>
      </c>
      <c r="R61" s="53"/>
      <c r="S61" s="39">
        <f t="shared" si="27"/>
        <v>0</v>
      </c>
      <c r="T61" s="34"/>
      <c r="U61" s="34"/>
    </row>
    <row r="62" spans="1:21" s="16" customFormat="1" ht="15" customHeight="1">
      <c r="A62" s="44"/>
      <c r="B62" s="41">
        <v>6700</v>
      </c>
      <c r="C62" s="37"/>
      <c r="D62" s="45" t="s">
        <v>74</v>
      </c>
      <c r="E62" s="43"/>
      <c r="F62" s="43"/>
      <c r="G62" s="94">
        <f>SUM(G63:G66)</f>
        <v>10500000</v>
      </c>
      <c r="H62" s="43"/>
      <c r="I62" s="43"/>
      <c r="J62" s="43"/>
      <c r="K62" s="43"/>
      <c r="L62" s="43"/>
      <c r="M62" s="43"/>
      <c r="N62" s="43">
        <f t="shared" si="21"/>
        <v>10500000</v>
      </c>
      <c r="O62" s="39">
        <f t="shared" si="29"/>
        <v>0</v>
      </c>
      <c r="P62" s="43"/>
      <c r="Q62" s="40">
        <f>SUM(Q63:Q66)</f>
        <v>48988001</v>
      </c>
      <c r="R62" s="43"/>
      <c r="S62" s="40">
        <f t="shared" si="27"/>
        <v>48988001</v>
      </c>
      <c r="T62" s="34"/>
      <c r="U62" s="34"/>
    </row>
    <row r="63" spans="1:21" s="16" customFormat="1" ht="15" customHeight="1">
      <c r="A63" s="37"/>
      <c r="B63" s="41"/>
      <c r="C63" s="37" t="s">
        <v>75</v>
      </c>
      <c r="D63" s="48" t="s">
        <v>76</v>
      </c>
      <c r="E63" s="42"/>
      <c r="F63" s="42"/>
      <c r="G63" s="93">
        <v>0</v>
      </c>
      <c r="H63" s="49"/>
      <c r="I63" s="42"/>
      <c r="J63" s="54"/>
      <c r="K63" s="42"/>
      <c r="L63" s="42"/>
      <c r="M63" s="42"/>
      <c r="N63" s="42">
        <f t="shared" si="21"/>
        <v>0</v>
      </c>
      <c r="O63" s="39">
        <f t="shared" si="29"/>
        <v>0</v>
      </c>
      <c r="P63" s="42"/>
      <c r="Q63" s="39">
        <f>2488001</f>
        <v>2488001</v>
      </c>
      <c r="R63" s="49"/>
      <c r="S63" s="39">
        <f t="shared" si="27"/>
        <v>2488001</v>
      </c>
      <c r="T63" s="34"/>
      <c r="U63" s="34"/>
    </row>
    <row r="64" spans="1:21" s="16" customFormat="1" ht="15" customHeight="1">
      <c r="A64" s="37"/>
      <c r="B64" s="41"/>
      <c r="C64" s="37" t="s">
        <v>77</v>
      </c>
      <c r="D64" s="48" t="s">
        <v>78</v>
      </c>
      <c r="E64" s="42"/>
      <c r="F64" s="42"/>
      <c r="G64" s="93"/>
      <c r="H64" s="42"/>
      <c r="I64" s="42"/>
      <c r="J64" s="54"/>
      <c r="K64" s="42"/>
      <c r="L64" s="42"/>
      <c r="M64" s="42"/>
      <c r="N64" s="42">
        <f t="shared" si="21"/>
        <v>0</v>
      </c>
      <c r="O64" s="39">
        <f t="shared" si="29"/>
        <v>0</v>
      </c>
      <c r="P64" s="42"/>
      <c r="Q64" s="39">
        <f t="shared" si="22"/>
        <v>0</v>
      </c>
      <c r="R64" s="42"/>
      <c r="S64" s="39">
        <f t="shared" si="27"/>
        <v>0</v>
      </c>
      <c r="T64" s="34"/>
      <c r="U64" s="34"/>
    </row>
    <row r="65" spans="1:21" s="16" customFormat="1" ht="15" customHeight="1">
      <c r="A65" s="37"/>
      <c r="B65" s="41"/>
      <c r="C65" s="37" t="s">
        <v>79</v>
      </c>
      <c r="D65" s="48" t="s">
        <v>80</v>
      </c>
      <c r="E65" s="42"/>
      <c r="F65" s="42"/>
      <c r="G65" s="93"/>
      <c r="H65" s="42"/>
      <c r="I65" s="42"/>
      <c r="J65" s="42"/>
      <c r="K65" s="42"/>
      <c r="L65" s="42"/>
      <c r="M65" s="42"/>
      <c r="N65" s="42">
        <f t="shared" si="21"/>
        <v>0</v>
      </c>
      <c r="O65" s="39">
        <f t="shared" si="29"/>
        <v>0</v>
      </c>
      <c r="P65" s="42"/>
      <c r="Q65" s="39">
        <f t="shared" si="22"/>
        <v>0</v>
      </c>
      <c r="R65" s="42"/>
      <c r="S65" s="39">
        <f t="shared" si="27"/>
        <v>0</v>
      </c>
      <c r="T65" s="34"/>
      <c r="U65" s="34"/>
    </row>
    <row r="66" spans="1:21" s="16" customFormat="1" ht="15" customHeight="1">
      <c r="A66" s="37"/>
      <c r="B66" s="41"/>
      <c r="C66" s="37" t="s">
        <v>81</v>
      </c>
      <c r="D66" s="48" t="s">
        <v>82</v>
      </c>
      <c r="E66" s="42"/>
      <c r="F66" s="42"/>
      <c r="G66" s="93">
        <v>10500000</v>
      </c>
      <c r="H66" s="42"/>
      <c r="I66" s="42"/>
      <c r="J66" s="42"/>
      <c r="K66" s="42"/>
      <c r="L66" s="42"/>
      <c r="M66" s="42"/>
      <c r="N66" s="42">
        <f t="shared" si="21"/>
        <v>10500000</v>
      </c>
      <c r="O66" s="39">
        <f t="shared" si="29"/>
        <v>0</v>
      </c>
      <c r="P66" s="42"/>
      <c r="Q66" s="39">
        <f>36000000+10500000</f>
        <v>46500000</v>
      </c>
      <c r="R66" s="42"/>
      <c r="S66" s="39">
        <f t="shared" si="27"/>
        <v>46500000</v>
      </c>
      <c r="T66" s="34"/>
      <c r="U66" s="34"/>
    </row>
    <row r="67" spans="1:21" s="16" customFormat="1" ht="15" customHeight="1">
      <c r="A67" s="44"/>
      <c r="B67" s="41">
        <v>6750</v>
      </c>
      <c r="C67" s="37"/>
      <c r="D67" s="45" t="s">
        <v>83</v>
      </c>
      <c r="E67" s="43">
        <f>SUM(E68:E71)</f>
        <v>5392000</v>
      </c>
      <c r="F67" s="43"/>
      <c r="G67" s="94">
        <f t="shared" ref="G67:M67" si="30">SUM(G68:G71)</f>
        <v>14020000</v>
      </c>
      <c r="H67" s="43">
        <f t="shared" si="30"/>
        <v>0</v>
      </c>
      <c r="I67" s="43">
        <f t="shared" si="30"/>
        <v>0</v>
      </c>
      <c r="J67" s="43">
        <f t="shared" si="30"/>
        <v>0</v>
      </c>
      <c r="K67" s="43">
        <f t="shared" si="30"/>
        <v>0</v>
      </c>
      <c r="L67" s="43">
        <f t="shared" si="30"/>
        <v>0</v>
      </c>
      <c r="M67" s="43">
        <f t="shared" si="30"/>
        <v>0</v>
      </c>
      <c r="N67" s="43">
        <f t="shared" si="21"/>
        <v>19412000</v>
      </c>
      <c r="O67" s="43">
        <f>SUM(O68:O71)</f>
        <v>18384000</v>
      </c>
      <c r="P67" s="43"/>
      <c r="Q67" s="40">
        <f>SUM(Q68:Q71)</f>
        <v>57350000</v>
      </c>
      <c r="R67" s="43"/>
      <c r="S67" s="40">
        <f t="shared" si="27"/>
        <v>75734000</v>
      </c>
      <c r="T67" s="34"/>
      <c r="U67" s="34"/>
    </row>
    <row r="68" spans="1:21" s="16" customFormat="1" ht="15" customHeight="1">
      <c r="A68" s="44"/>
      <c r="B68" s="41"/>
      <c r="C68" s="37" t="s">
        <v>84</v>
      </c>
      <c r="D68" s="48" t="s">
        <v>85</v>
      </c>
      <c r="E68" s="42">
        <v>5392000</v>
      </c>
      <c r="F68" s="42"/>
      <c r="G68" s="93">
        <v>0</v>
      </c>
      <c r="H68" s="42"/>
      <c r="I68" s="42"/>
      <c r="J68" s="28"/>
      <c r="K68" s="28"/>
      <c r="L68" s="42"/>
      <c r="M68" s="28"/>
      <c r="N68" s="42">
        <f t="shared" si="21"/>
        <v>5392000</v>
      </c>
      <c r="O68" s="39">
        <f>7992000+5392000+5000000</f>
        <v>18384000</v>
      </c>
      <c r="P68" s="42"/>
      <c r="Q68" s="39">
        <v>1500000</v>
      </c>
      <c r="R68" s="42"/>
      <c r="S68" s="39">
        <f t="shared" si="27"/>
        <v>19884000</v>
      </c>
      <c r="T68" s="34"/>
      <c r="U68" s="34"/>
    </row>
    <row r="69" spans="1:21" s="16" customFormat="1" ht="15" customHeight="1">
      <c r="A69" s="44"/>
      <c r="B69" s="41"/>
      <c r="C69" s="37" t="s">
        <v>86</v>
      </c>
      <c r="D69" s="48" t="s">
        <v>87</v>
      </c>
      <c r="E69" s="42"/>
      <c r="F69" s="42"/>
      <c r="G69" s="93">
        <v>2300000</v>
      </c>
      <c r="H69" s="42"/>
      <c r="I69" s="42"/>
      <c r="J69" s="28"/>
      <c r="K69" s="28"/>
      <c r="L69" s="42"/>
      <c r="M69" s="28"/>
      <c r="N69" s="42">
        <f t="shared" si="21"/>
        <v>2300000</v>
      </c>
      <c r="O69" s="39">
        <f t="shared" si="29"/>
        <v>0</v>
      </c>
      <c r="P69" s="42"/>
      <c r="Q69" s="39">
        <f>8350000+2300000</f>
        <v>10650000</v>
      </c>
      <c r="R69" s="42"/>
      <c r="S69" s="39">
        <f t="shared" si="27"/>
        <v>10650000</v>
      </c>
      <c r="T69" s="34"/>
      <c r="U69" s="34"/>
    </row>
    <row r="70" spans="1:21" s="16" customFormat="1" ht="15" customHeight="1">
      <c r="A70" s="44"/>
      <c r="B70" s="41"/>
      <c r="C70" s="37" t="s">
        <v>88</v>
      </c>
      <c r="D70" s="48" t="s">
        <v>138</v>
      </c>
      <c r="E70" s="42"/>
      <c r="F70" s="42"/>
      <c r="G70" s="93">
        <v>11720000</v>
      </c>
      <c r="H70" s="42"/>
      <c r="I70" s="42"/>
      <c r="J70" s="28"/>
      <c r="K70" s="28"/>
      <c r="L70" s="42"/>
      <c r="M70" s="28"/>
      <c r="N70" s="42">
        <f t="shared" si="21"/>
        <v>11720000</v>
      </c>
      <c r="O70" s="39"/>
      <c r="P70" s="42"/>
      <c r="Q70" s="39">
        <f>33480000+11720000</f>
        <v>45200000</v>
      </c>
      <c r="R70" s="42"/>
      <c r="S70" s="39">
        <f t="shared" si="27"/>
        <v>45200000</v>
      </c>
      <c r="T70" s="34"/>
      <c r="U70" s="34"/>
    </row>
    <row r="71" spans="1:21" s="16" customFormat="1" ht="15" customHeight="1">
      <c r="A71" s="37"/>
      <c r="B71" s="41"/>
      <c r="C71" s="37" t="s">
        <v>89</v>
      </c>
      <c r="D71" s="48" t="s">
        <v>139</v>
      </c>
      <c r="E71" s="42"/>
      <c r="F71" s="42"/>
      <c r="G71" s="93"/>
      <c r="H71" s="42"/>
      <c r="I71" s="42"/>
      <c r="J71" s="42"/>
      <c r="K71" s="42"/>
      <c r="L71" s="42"/>
      <c r="M71" s="42"/>
      <c r="N71" s="42">
        <f t="shared" si="21"/>
        <v>0</v>
      </c>
      <c r="O71" s="39"/>
      <c r="P71" s="42"/>
      <c r="Q71" s="39">
        <f t="shared" si="22"/>
        <v>0</v>
      </c>
      <c r="R71" s="42"/>
      <c r="S71" s="39">
        <f t="shared" si="27"/>
        <v>0</v>
      </c>
      <c r="T71" s="34"/>
      <c r="U71" s="34"/>
    </row>
    <row r="72" spans="1:21" s="16" customFormat="1" ht="15" customHeight="1">
      <c r="A72" s="44"/>
      <c r="B72" s="41">
        <v>6900</v>
      </c>
      <c r="C72" s="37"/>
      <c r="D72" s="45" t="s">
        <v>90</v>
      </c>
      <c r="E72" s="43"/>
      <c r="F72" s="43"/>
      <c r="G72" s="94">
        <f>SUM(G73:G77)</f>
        <v>2850000</v>
      </c>
      <c r="H72" s="43"/>
      <c r="I72" s="43"/>
      <c r="J72" s="43"/>
      <c r="K72" s="43"/>
      <c r="L72" s="43"/>
      <c r="M72" s="43"/>
      <c r="N72" s="43">
        <f t="shared" si="21"/>
        <v>2850000</v>
      </c>
      <c r="O72" s="39"/>
      <c r="P72" s="43"/>
      <c r="Q72" s="40">
        <f>SUM(Q73:Q77)</f>
        <v>4655000</v>
      </c>
      <c r="R72" s="43"/>
      <c r="S72" s="40">
        <f t="shared" si="27"/>
        <v>4655000</v>
      </c>
      <c r="T72" s="34"/>
      <c r="U72" s="34"/>
    </row>
    <row r="73" spans="1:21" s="16" customFormat="1" ht="15" customHeight="1">
      <c r="A73" s="37"/>
      <c r="B73" s="41"/>
      <c r="C73" s="37" t="s">
        <v>113</v>
      </c>
      <c r="D73" s="48" t="s">
        <v>114</v>
      </c>
      <c r="E73" s="42"/>
      <c r="F73" s="42"/>
      <c r="G73" s="93"/>
      <c r="H73" s="42"/>
      <c r="I73" s="42"/>
      <c r="J73" s="42"/>
      <c r="K73" s="42"/>
      <c r="L73" s="42"/>
      <c r="M73" s="42"/>
      <c r="N73" s="42">
        <f t="shared" si="21"/>
        <v>0</v>
      </c>
      <c r="O73" s="39"/>
      <c r="P73" s="42"/>
      <c r="Q73" s="39">
        <f t="shared" si="22"/>
        <v>0</v>
      </c>
      <c r="R73" s="42"/>
      <c r="S73" s="39">
        <f t="shared" si="27"/>
        <v>0</v>
      </c>
      <c r="T73" s="34"/>
      <c r="U73" s="34"/>
    </row>
    <row r="74" spans="1:21" s="16" customFormat="1" ht="15" customHeight="1">
      <c r="A74" s="37"/>
      <c r="B74" s="41"/>
      <c r="C74" s="37" t="s">
        <v>91</v>
      </c>
      <c r="D74" s="48" t="s">
        <v>133</v>
      </c>
      <c r="E74" s="42"/>
      <c r="F74" s="42"/>
      <c r="G74" s="93"/>
      <c r="H74" s="42"/>
      <c r="I74" s="42"/>
      <c r="J74" s="42"/>
      <c r="K74" s="42"/>
      <c r="L74" s="42"/>
      <c r="M74" s="42"/>
      <c r="N74" s="42">
        <f t="shared" si="21"/>
        <v>0</v>
      </c>
      <c r="O74" s="39"/>
      <c r="P74" s="42"/>
      <c r="Q74" s="39">
        <f t="shared" si="22"/>
        <v>0</v>
      </c>
      <c r="R74" s="42"/>
      <c r="S74" s="39">
        <f t="shared" si="27"/>
        <v>0</v>
      </c>
      <c r="T74" s="34"/>
      <c r="U74" s="34"/>
    </row>
    <row r="75" spans="1:21" s="16" customFormat="1" ht="15" customHeight="1">
      <c r="A75" s="44"/>
      <c r="B75" s="41"/>
      <c r="C75" s="37" t="s">
        <v>92</v>
      </c>
      <c r="D75" s="48" t="s">
        <v>93</v>
      </c>
      <c r="E75" s="42"/>
      <c r="F75" s="42"/>
      <c r="G75" s="93"/>
      <c r="H75" s="42"/>
      <c r="I75" s="42"/>
      <c r="J75" s="28"/>
      <c r="K75" s="28"/>
      <c r="L75" s="42"/>
      <c r="M75" s="28"/>
      <c r="N75" s="42">
        <f t="shared" si="21"/>
        <v>0</v>
      </c>
      <c r="O75" s="39"/>
      <c r="P75" s="42"/>
      <c r="Q75" s="39"/>
      <c r="R75" s="42"/>
      <c r="S75" s="39">
        <f t="shared" si="27"/>
        <v>0</v>
      </c>
      <c r="T75" s="34"/>
      <c r="U75" s="34"/>
    </row>
    <row r="76" spans="1:21" s="16" customFormat="1" ht="15" customHeight="1">
      <c r="A76" s="37"/>
      <c r="B76" s="41"/>
      <c r="C76" s="37" t="s">
        <v>94</v>
      </c>
      <c r="D76" s="48" t="s">
        <v>95</v>
      </c>
      <c r="E76" s="42"/>
      <c r="F76" s="42"/>
      <c r="G76" s="93">
        <v>2850000</v>
      </c>
      <c r="H76" s="42"/>
      <c r="I76" s="42"/>
      <c r="J76" s="42"/>
      <c r="K76" s="42"/>
      <c r="L76" s="42"/>
      <c r="M76" s="42"/>
      <c r="N76" s="42">
        <f t="shared" si="21"/>
        <v>2850000</v>
      </c>
      <c r="O76" s="39"/>
      <c r="P76" s="42"/>
      <c r="Q76" s="39">
        <v>2850000</v>
      </c>
      <c r="R76" s="42"/>
      <c r="S76" s="39">
        <f t="shared" si="27"/>
        <v>2850000</v>
      </c>
      <c r="T76" s="34"/>
      <c r="U76" s="34"/>
    </row>
    <row r="77" spans="1:21" s="16" customFormat="1" ht="26.25" customHeight="1">
      <c r="A77" s="37"/>
      <c r="B77" s="41"/>
      <c r="C77" s="37" t="s">
        <v>156</v>
      </c>
      <c r="D77" s="47" t="s">
        <v>157</v>
      </c>
      <c r="E77" s="42"/>
      <c r="F77" s="42"/>
      <c r="G77" s="93">
        <v>0</v>
      </c>
      <c r="H77" s="42"/>
      <c r="I77" s="42"/>
      <c r="J77" s="42"/>
      <c r="K77" s="42"/>
      <c r="L77" s="42"/>
      <c r="M77" s="42"/>
      <c r="N77" s="42"/>
      <c r="O77" s="39"/>
      <c r="P77" s="42"/>
      <c r="Q77" s="39">
        <v>1805000</v>
      </c>
      <c r="R77" s="42"/>
      <c r="S77" s="39">
        <v>1805000</v>
      </c>
      <c r="T77" s="34"/>
      <c r="U77" s="34"/>
    </row>
    <row r="78" spans="1:21" s="55" customFormat="1" ht="15" customHeight="1">
      <c r="A78" s="44"/>
      <c r="B78" s="41">
        <v>6950</v>
      </c>
      <c r="C78" s="44"/>
      <c r="D78" s="45" t="s">
        <v>115</v>
      </c>
      <c r="E78" s="46"/>
      <c r="F78" s="46"/>
      <c r="G78" s="91"/>
      <c r="H78" s="46"/>
      <c r="I78" s="46"/>
      <c r="J78" s="46"/>
      <c r="K78" s="46"/>
      <c r="L78" s="46"/>
      <c r="M78" s="46"/>
      <c r="N78" s="42">
        <f t="shared" si="21"/>
        <v>0</v>
      </c>
      <c r="O78" s="39"/>
      <c r="P78" s="46"/>
      <c r="Q78" s="39">
        <f t="shared" si="22"/>
        <v>0</v>
      </c>
      <c r="R78" s="46"/>
      <c r="S78" s="39">
        <f t="shared" si="27"/>
        <v>0</v>
      </c>
      <c r="T78" s="46"/>
      <c r="U78" s="46"/>
    </row>
    <row r="79" spans="1:21" s="16" customFormat="1" ht="15" customHeight="1">
      <c r="A79" s="44"/>
      <c r="B79" s="41"/>
      <c r="C79" s="37" t="s">
        <v>116</v>
      </c>
      <c r="D79" s="48" t="s">
        <v>117</v>
      </c>
      <c r="E79" s="28"/>
      <c r="F79" s="28"/>
      <c r="G79" s="88"/>
      <c r="H79" s="28"/>
      <c r="I79" s="42"/>
      <c r="J79" s="28"/>
      <c r="K79" s="28"/>
      <c r="L79" s="42"/>
      <c r="M79" s="28"/>
      <c r="N79" s="42">
        <f t="shared" si="21"/>
        <v>0</v>
      </c>
      <c r="O79" s="39"/>
      <c r="P79" s="28"/>
      <c r="Q79" s="39">
        <f t="shared" si="22"/>
        <v>0</v>
      </c>
      <c r="R79" s="28"/>
      <c r="S79" s="39">
        <f t="shared" si="27"/>
        <v>0</v>
      </c>
      <c r="T79" s="34"/>
      <c r="U79" s="34"/>
    </row>
    <row r="80" spans="1:21" s="16" customFormat="1" ht="21" customHeight="1">
      <c r="A80" s="44"/>
      <c r="B80" s="41">
        <v>6950</v>
      </c>
      <c r="C80" s="37"/>
      <c r="D80" s="82" t="s">
        <v>143</v>
      </c>
      <c r="E80" s="46">
        <f>E81</f>
        <v>0</v>
      </c>
      <c r="F80" s="28"/>
      <c r="G80" s="88"/>
      <c r="H80" s="28"/>
      <c r="I80" s="42"/>
      <c r="J80" s="28"/>
      <c r="K80" s="28"/>
      <c r="L80" s="42"/>
      <c r="M80" s="28"/>
      <c r="N80" s="42"/>
      <c r="O80" s="39"/>
      <c r="P80" s="28"/>
      <c r="Q80" s="39"/>
      <c r="R80" s="28"/>
      <c r="S80" s="39"/>
      <c r="T80" s="34"/>
      <c r="U80" s="34"/>
    </row>
    <row r="81" spans="1:21" s="16" customFormat="1" ht="15" customHeight="1">
      <c r="A81" s="44"/>
      <c r="B81" s="41"/>
      <c r="C81" s="37" t="s">
        <v>116</v>
      </c>
      <c r="D81" s="48" t="s">
        <v>144</v>
      </c>
      <c r="E81" s="28"/>
      <c r="F81" s="28"/>
      <c r="G81" s="88"/>
      <c r="H81" s="28"/>
      <c r="I81" s="42"/>
      <c r="J81" s="28"/>
      <c r="K81" s="28"/>
      <c r="L81" s="42"/>
      <c r="M81" s="28"/>
      <c r="N81" s="42"/>
      <c r="O81" s="39"/>
      <c r="P81" s="28"/>
      <c r="Q81" s="39"/>
      <c r="R81" s="28"/>
      <c r="S81" s="39"/>
      <c r="T81" s="34"/>
      <c r="U81" s="34"/>
    </row>
    <row r="82" spans="1:21" s="16" customFormat="1" ht="15" customHeight="1">
      <c r="A82" s="44"/>
      <c r="B82" s="41">
        <v>7000</v>
      </c>
      <c r="C82" s="44"/>
      <c r="D82" s="45" t="s">
        <v>96</v>
      </c>
      <c r="E82" s="43">
        <f>SUM(E83:E87)</f>
        <v>0</v>
      </c>
      <c r="F82" s="43">
        <f t="shared" ref="F82:O82" si="31">SUM(F84:F87)</f>
        <v>0</v>
      </c>
      <c r="G82" s="94">
        <f>SUM(G83:G87)</f>
        <v>0</v>
      </c>
      <c r="H82" s="43">
        <f t="shared" si="31"/>
        <v>0</v>
      </c>
      <c r="I82" s="43">
        <f t="shared" si="31"/>
        <v>0</v>
      </c>
      <c r="J82" s="43">
        <f t="shared" si="31"/>
        <v>0</v>
      </c>
      <c r="K82" s="43">
        <f t="shared" si="31"/>
        <v>0</v>
      </c>
      <c r="L82" s="43">
        <f t="shared" si="31"/>
        <v>0</v>
      </c>
      <c r="M82" s="43">
        <f t="shared" si="31"/>
        <v>0</v>
      </c>
      <c r="N82" s="43">
        <f t="shared" si="21"/>
        <v>0</v>
      </c>
      <c r="O82" s="43">
        <f t="shared" si="31"/>
        <v>73048400</v>
      </c>
      <c r="P82" s="43"/>
      <c r="Q82" s="40">
        <f>SUM(Q83:Q87)</f>
        <v>429000</v>
      </c>
      <c r="R82" s="43"/>
      <c r="S82" s="40">
        <f t="shared" si="27"/>
        <v>73477400</v>
      </c>
      <c r="T82" s="34"/>
      <c r="U82" s="34"/>
    </row>
    <row r="83" spans="1:21" s="16" customFormat="1" ht="21.75" customHeight="1">
      <c r="A83" s="37"/>
      <c r="B83" s="56"/>
      <c r="C83" s="37" t="s">
        <v>97</v>
      </c>
      <c r="D83" s="47" t="s">
        <v>98</v>
      </c>
      <c r="E83" s="28"/>
      <c r="F83" s="28"/>
      <c r="G83" s="88"/>
      <c r="H83" s="28"/>
      <c r="I83" s="42"/>
      <c r="J83" s="28"/>
      <c r="K83" s="28"/>
      <c r="L83" s="42"/>
      <c r="M83" s="28"/>
      <c r="N83" s="42">
        <f t="shared" si="21"/>
        <v>0</v>
      </c>
      <c r="O83" s="39"/>
      <c r="P83" s="28"/>
      <c r="Q83" s="39">
        <v>429000</v>
      </c>
      <c r="R83" s="28"/>
      <c r="S83" s="39">
        <f t="shared" si="27"/>
        <v>429000</v>
      </c>
      <c r="T83" s="34"/>
      <c r="U83" s="34"/>
    </row>
    <row r="84" spans="1:21" s="16" customFormat="1" ht="15" customHeight="1">
      <c r="A84" s="37"/>
      <c r="B84" s="41"/>
      <c r="C84" s="37" t="s">
        <v>97</v>
      </c>
      <c r="D84" s="47" t="s">
        <v>99</v>
      </c>
      <c r="E84" s="42"/>
      <c r="F84" s="42"/>
      <c r="G84" s="93"/>
      <c r="H84" s="42"/>
      <c r="I84" s="42"/>
      <c r="J84" s="42"/>
      <c r="K84" s="42"/>
      <c r="L84" s="42"/>
      <c r="M84" s="42"/>
      <c r="N84" s="42">
        <f t="shared" si="21"/>
        <v>0</v>
      </c>
      <c r="O84" s="39"/>
      <c r="P84" s="42"/>
      <c r="Q84" s="39">
        <f t="shared" si="22"/>
        <v>0</v>
      </c>
      <c r="R84" s="42"/>
      <c r="S84" s="39">
        <f t="shared" si="27"/>
        <v>0</v>
      </c>
      <c r="T84" s="34"/>
      <c r="U84" s="34"/>
    </row>
    <row r="85" spans="1:21" s="16" customFormat="1" ht="15" customHeight="1">
      <c r="A85" s="37"/>
      <c r="B85" s="41"/>
      <c r="C85" s="37" t="s">
        <v>100</v>
      </c>
      <c r="D85" s="48" t="s">
        <v>101</v>
      </c>
      <c r="E85" s="42"/>
      <c r="F85" s="42"/>
      <c r="G85" s="93"/>
      <c r="H85" s="42"/>
      <c r="I85" s="42"/>
      <c r="J85" s="42"/>
      <c r="K85" s="42"/>
      <c r="L85" s="42"/>
      <c r="M85" s="42"/>
      <c r="N85" s="42">
        <f t="shared" si="21"/>
        <v>0</v>
      </c>
      <c r="O85" s="39">
        <f>73048400</f>
        <v>73048400</v>
      </c>
      <c r="P85" s="42"/>
      <c r="Q85" s="39">
        <f t="shared" si="22"/>
        <v>0</v>
      </c>
      <c r="R85" s="42"/>
      <c r="S85" s="39">
        <f t="shared" si="27"/>
        <v>73048400</v>
      </c>
      <c r="T85" s="34"/>
      <c r="U85" s="34"/>
    </row>
    <row r="86" spans="1:21" s="16" customFormat="1" ht="15" customHeight="1">
      <c r="A86" s="37"/>
      <c r="B86" s="41"/>
      <c r="C86" s="37" t="s">
        <v>137</v>
      </c>
      <c r="D86" s="48" t="s">
        <v>106</v>
      </c>
      <c r="E86" s="42"/>
      <c r="F86" s="42"/>
      <c r="G86" s="93"/>
      <c r="H86" s="42"/>
      <c r="I86" s="42"/>
      <c r="J86" s="42"/>
      <c r="K86" s="42"/>
      <c r="L86" s="42"/>
      <c r="M86" s="42"/>
      <c r="N86" s="42">
        <f t="shared" si="21"/>
        <v>0</v>
      </c>
      <c r="O86" s="39"/>
      <c r="P86" s="42"/>
      <c r="Q86" s="39"/>
      <c r="R86" s="42"/>
      <c r="S86" s="39">
        <f t="shared" si="27"/>
        <v>0</v>
      </c>
      <c r="T86" s="34"/>
      <c r="U86" s="34"/>
    </row>
    <row r="87" spans="1:21" s="16" customFormat="1" ht="15" customHeight="1">
      <c r="A87" s="37"/>
      <c r="B87" s="41"/>
      <c r="C87" s="37" t="s">
        <v>129</v>
      </c>
      <c r="D87" s="48" t="s">
        <v>128</v>
      </c>
      <c r="E87" s="42"/>
      <c r="F87" s="42"/>
      <c r="G87" s="93"/>
      <c r="H87" s="42"/>
      <c r="I87" s="42"/>
      <c r="J87" s="42"/>
      <c r="K87" s="42"/>
      <c r="L87" s="42"/>
      <c r="M87" s="42"/>
      <c r="N87" s="42">
        <f t="shared" si="21"/>
        <v>0</v>
      </c>
      <c r="O87" s="39"/>
      <c r="P87" s="42"/>
      <c r="Q87" s="39">
        <f t="shared" si="22"/>
        <v>0</v>
      </c>
      <c r="R87" s="42"/>
      <c r="S87" s="39">
        <f t="shared" si="27"/>
        <v>0</v>
      </c>
      <c r="T87" s="34"/>
      <c r="U87" s="34"/>
    </row>
    <row r="88" spans="1:21" s="55" customFormat="1" ht="15" customHeight="1">
      <c r="A88" s="44"/>
      <c r="B88" s="41">
        <v>8000</v>
      </c>
      <c r="C88" s="44"/>
      <c r="D88" s="45" t="s">
        <v>102</v>
      </c>
      <c r="E88" s="43"/>
      <c r="F88" s="43"/>
      <c r="G88" s="94"/>
      <c r="H88" s="43">
        <f>SUM(H89:H90)</f>
        <v>0</v>
      </c>
      <c r="I88" s="43"/>
      <c r="J88" s="43"/>
      <c r="K88" s="43"/>
      <c r="L88" s="43"/>
      <c r="M88" s="43"/>
      <c r="N88" s="42">
        <f t="shared" si="21"/>
        <v>0</v>
      </c>
      <c r="O88" s="39"/>
      <c r="P88" s="43"/>
      <c r="Q88" s="39">
        <f t="shared" si="22"/>
        <v>0</v>
      </c>
      <c r="R88" s="43"/>
      <c r="S88" s="39">
        <f t="shared" si="27"/>
        <v>0</v>
      </c>
      <c r="T88" s="34"/>
      <c r="U88" s="34"/>
    </row>
    <row r="89" spans="1:21" s="55" customFormat="1" ht="15" customHeight="1">
      <c r="A89" s="44"/>
      <c r="B89" s="41"/>
      <c r="C89" s="37" t="s">
        <v>158</v>
      </c>
      <c r="D89" s="48" t="s">
        <v>159</v>
      </c>
      <c r="E89" s="43"/>
      <c r="F89" s="43"/>
      <c r="G89" s="94"/>
      <c r="H89" s="42"/>
      <c r="I89" s="43"/>
      <c r="J89" s="43"/>
      <c r="K89" s="43"/>
      <c r="L89" s="43"/>
      <c r="M89" s="43"/>
      <c r="N89" s="42"/>
      <c r="O89" s="39"/>
      <c r="P89" s="43"/>
      <c r="Q89" s="39"/>
      <c r="R89" s="43">
        <v>126461611</v>
      </c>
      <c r="S89" s="43">
        <v>126461611</v>
      </c>
      <c r="T89" s="34"/>
      <c r="U89" s="34"/>
    </row>
    <row r="90" spans="1:21" s="16" customFormat="1" ht="15" customHeight="1">
      <c r="A90" s="37"/>
      <c r="B90" s="41"/>
      <c r="C90" s="37" t="s">
        <v>103</v>
      </c>
      <c r="D90" s="48" t="s">
        <v>24</v>
      </c>
      <c r="E90" s="42"/>
      <c r="F90" s="42"/>
      <c r="G90" s="93"/>
      <c r="H90" s="42"/>
      <c r="I90" s="42"/>
      <c r="J90" s="42"/>
      <c r="K90" s="42"/>
      <c r="L90" s="42"/>
      <c r="M90" s="42"/>
      <c r="N90" s="42">
        <f t="shared" si="21"/>
        <v>0</v>
      </c>
      <c r="O90" s="39"/>
      <c r="P90" s="42"/>
      <c r="Q90" s="39">
        <f t="shared" si="22"/>
        <v>0</v>
      </c>
      <c r="R90" s="42">
        <v>126461611</v>
      </c>
      <c r="S90" s="39">
        <f t="shared" si="27"/>
        <v>126461611</v>
      </c>
      <c r="T90" s="34"/>
      <c r="U90" s="34"/>
    </row>
    <row r="91" spans="1:21" s="16" customFormat="1" ht="15" customHeight="1">
      <c r="A91" s="37" t="s">
        <v>104</v>
      </c>
      <c r="B91" s="110" t="s">
        <v>105</v>
      </c>
      <c r="C91" s="110"/>
      <c r="D91" s="110"/>
      <c r="E91" s="43"/>
      <c r="F91" s="43"/>
      <c r="G91" s="94">
        <f>G92</f>
        <v>66000</v>
      </c>
      <c r="H91" s="43"/>
      <c r="I91" s="43"/>
      <c r="J91" s="43"/>
      <c r="K91" s="43"/>
      <c r="L91" s="43"/>
      <c r="M91" s="43"/>
      <c r="N91" s="43">
        <f t="shared" si="21"/>
        <v>66000</v>
      </c>
      <c r="O91" s="40"/>
      <c r="P91" s="43"/>
      <c r="Q91" s="40">
        <f>Q92</f>
        <v>7788638</v>
      </c>
      <c r="R91" s="43"/>
      <c r="S91" s="40">
        <f t="shared" si="27"/>
        <v>7788638</v>
      </c>
      <c r="T91" s="34"/>
      <c r="U91" s="34"/>
    </row>
    <row r="92" spans="1:21" s="55" customFormat="1" ht="15" customHeight="1">
      <c r="A92" s="57"/>
      <c r="B92" s="57">
        <v>7750</v>
      </c>
      <c r="C92" s="57"/>
      <c r="D92" s="58" t="s">
        <v>106</v>
      </c>
      <c r="E92" s="43">
        <f>E93</f>
        <v>0</v>
      </c>
      <c r="F92" s="43"/>
      <c r="G92" s="94">
        <f>SUM(G93:G96)</f>
        <v>66000</v>
      </c>
      <c r="H92" s="43"/>
      <c r="I92" s="43"/>
      <c r="J92" s="43"/>
      <c r="K92" s="43"/>
      <c r="L92" s="43"/>
      <c r="M92" s="43"/>
      <c r="N92" s="43">
        <f t="shared" si="21"/>
        <v>66000</v>
      </c>
      <c r="O92" s="40"/>
      <c r="P92" s="43"/>
      <c r="Q92" s="40">
        <f>SUM(Q93:Q96)</f>
        <v>7788638</v>
      </c>
      <c r="R92" s="43"/>
      <c r="S92" s="40">
        <f t="shared" si="27"/>
        <v>7788638</v>
      </c>
      <c r="T92" s="34"/>
      <c r="U92" s="34"/>
    </row>
    <row r="93" spans="1:21" s="16" customFormat="1" ht="15" customHeight="1">
      <c r="A93" s="49"/>
      <c r="B93" s="49"/>
      <c r="C93" s="49">
        <v>7756</v>
      </c>
      <c r="D93" s="59" t="s">
        <v>107</v>
      </c>
      <c r="E93" s="52"/>
      <c r="F93" s="52"/>
      <c r="G93" s="96">
        <v>66000</v>
      </c>
      <c r="H93" s="52"/>
      <c r="I93" s="42"/>
      <c r="J93" s="52"/>
      <c r="K93" s="52"/>
      <c r="L93" s="42"/>
      <c r="M93" s="23"/>
      <c r="N93" s="42">
        <f t="shared" si="21"/>
        <v>66000</v>
      </c>
      <c r="O93" s="39"/>
      <c r="P93" s="52"/>
      <c r="Q93" s="39">
        <f>235400+66000</f>
        <v>301400</v>
      </c>
      <c r="R93" s="52"/>
      <c r="S93" s="39">
        <f t="shared" si="27"/>
        <v>301400</v>
      </c>
      <c r="T93" s="34"/>
      <c r="U93" s="34"/>
    </row>
    <row r="94" spans="1:21" s="16" customFormat="1" ht="15" customHeight="1">
      <c r="A94" s="49"/>
      <c r="B94" s="49"/>
      <c r="C94" s="49">
        <v>6757</v>
      </c>
      <c r="D94" s="59" t="s">
        <v>108</v>
      </c>
      <c r="E94" s="52"/>
      <c r="F94" s="52"/>
      <c r="G94" s="96"/>
      <c r="H94" s="52"/>
      <c r="I94" s="42"/>
      <c r="J94" s="52"/>
      <c r="K94" s="52"/>
      <c r="L94" s="42"/>
      <c r="M94" s="23"/>
      <c r="N94" s="42">
        <f t="shared" si="21"/>
        <v>0</v>
      </c>
      <c r="O94" s="39"/>
      <c r="P94" s="52"/>
      <c r="Q94" s="39">
        <f t="shared" si="22"/>
        <v>0</v>
      </c>
      <c r="R94" s="52"/>
      <c r="S94" s="39">
        <f t="shared" si="27"/>
        <v>0</v>
      </c>
      <c r="T94" s="34"/>
      <c r="U94" s="34"/>
    </row>
    <row r="95" spans="1:21" s="16" customFormat="1" ht="15" customHeight="1">
      <c r="A95" s="49"/>
      <c r="B95" s="49"/>
      <c r="C95" s="49">
        <v>7761</v>
      </c>
      <c r="D95" s="60" t="s">
        <v>109</v>
      </c>
      <c r="E95" s="52"/>
      <c r="F95" s="52"/>
      <c r="G95" s="96"/>
      <c r="H95" s="52"/>
      <c r="I95" s="42"/>
      <c r="J95" s="52"/>
      <c r="K95" s="52"/>
      <c r="L95" s="42"/>
      <c r="M95" s="49"/>
      <c r="N95" s="42">
        <f t="shared" si="21"/>
        <v>0</v>
      </c>
      <c r="O95" s="39"/>
      <c r="P95" s="52"/>
      <c r="Q95" s="39">
        <f t="shared" si="22"/>
        <v>0</v>
      </c>
      <c r="R95" s="52"/>
      <c r="S95" s="39">
        <f t="shared" si="27"/>
        <v>0</v>
      </c>
      <c r="T95" s="34"/>
      <c r="U95" s="34"/>
    </row>
    <row r="96" spans="1:21" s="16" customFormat="1" ht="15" customHeight="1">
      <c r="A96" s="49"/>
      <c r="B96" s="49"/>
      <c r="C96" s="49">
        <v>7799</v>
      </c>
      <c r="D96" s="60" t="s">
        <v>110</v>
      </c>
      <c r="E96" s="52"/>
      <c r="F96" s="52"/>
      <c r="G96" s="96"/>
      <c r="H96" s="52"/>
      <c r="I96" s="42"/>
      <c r="J96" s="49"/>
      <c r="K96" s="49"/>
      <c r="L96" s="42"/>
      <c r="M96" s="49"/>
      <c r="N96" s="42">
        <f t="shared" ref="N96" si="32">SUM(E96:H96)</f>
        <v>0</v>
      </c>
      <c r="O96" s="39"/>
      <c r="P96" s="52"/>
      <c r="Q96" s="39">
        <v>7487238</v>
      </c>
      <c r="R96" s="52"/>
      <c r="S96" s="39">
        <f t="shared" ref="S96" si="33">SUM(O96:R96)</f>
        <v>7487238</v>
      </c>
      <c r="T96" s="34"/>
      <c r="U96" s="34"/>
    </row>
    <row r="97" spans="1:21" s="55" customFormat="1" ht="15" customHeight="1">
      <c r="A97" s="78" t="s">
        <v>118</v>
      </c>
      <c r="B97" s="111" t="s">
        <v>149</v>
      </c>
      <c r="C97" s="111"/>
      <c r="D97" s="111"/>
      <c r="E97" s="61">
        <f>E10-E18</f>
        <v>765808000</v>
      </c>
      <c r="F97" s="61"/>
      <c r="G97" s="97">
        <f t="shared" ref="G97:P97" si="34">G10-G18</f>
        <v>1406409568</v>
      </c>
      <c r="H97" s="61"/>
      <c r="I97" s="61">
        <f t="shared" si="34"/>
        <v>0</v>
      </c>
      <c r="J97" s="61">
        <f t="shared" si="34"/>
        <v>-45047340</v>
      </c>
      <c r="K97" s="61">
        <f t="shared" si="34"/>
        <v>-2691000</v>
      </c>
      <c r="L97" s="61">
        <f t="shared" si="34"/>
        <v>0</v>
      </c>
      <c r="M97" s="61">
        <f t="shared" si="34"/>
        <v>0</v>
      </c>
      <c r="N97" s="61">
        <f t="shared" si="34"/>
        <v>2305179179</v>
      </c>
      <c r="O97" s="61">
        <f t="shared" si="34"/>
        <v>692551600</v>
      </c>
      <c r="P97" s="61">
        <f t="shared" si="34"/>
        <v>0</v>
      </c>
      <c r="Q97" s="61">
        <f t="shared" ref="Q97:R97" si="35">Q10-Q18</f>
        <v>635014424</v>
      </c>
      <c r="R97" s="61">
        <f t="shared" si="35"/>
        <v>0</v>
      </c>
      <c r="S97" s="80">
        <f t="shared" si="27"/>
        <v>1327566024</v>
      </c>
      <c r="T97" s="62"/>
      <c r="U97" s="62"/>
    </row>
    <row r="98" spans="1:21" s="67" customFormat="1" ht="20.25" customHeight="1">
      <c r="D98" s="68"/>
      <c r="F98" s="104"/>
      <c r="G98" s="104"/>
      <c r="H98" s="104"/>
      <c r="N98" s="69"/>
      <c r="P98" s="112" t="s">
        <v>150</v>
      </c>
      <c r="Q98" s="112"/>
      <c r="R98" s="112"/>
      <c r="S98" s="112"/>
    </row>
    <row r="99" spans="1:21" ht="20.25" customHeight="1">
      <c r="D99" s="81" t="s">
        <v>120</v>
      </c>
      <c r="G99" s="100" t="s">
        <v>152</v>
      </c>
      <c r="H99" s="100"/>
      <c r="I99" s="100"/>
      <c r="J99" s="100"/>
      <c r="K99" s="100"/>
      <c r="L99" s="100"/>
      <c r="M99" s="100"/>
      <c r="N99" s="100"/>
      <c r="P99" s="105" t="s">
        <v>135</v>
      </c>
      <c r="Q99" s="105"/>
      <c r="R99" s="105"/>
      <c r="S99" s="105"/>
    </row>
    <row r="102" spans="1:21" s="67" customFormat="1" ht="20.25" customHeight="1">
      <c r="D102" s="68"/>
      <c r="F102" s="104"/>
      <c r="G102" s="104"/>
      <c r="H102" s="104"/>
      <c r="N102" s="69"/>
      <c r="P102" s="104"/>
      <c r="Q102" s="104"/>
      <c r="R102" s="104"/>
    </row>
    <row r="103" spans="1:21" ht="20.25" customHeight="1">
      <c r="D103" s="99" t="s">
        <v>147</v>
      </c>
      <c r="G103" s="100" t="s">
        <v>163</v>
      </c>
      <c r="H103" s="100"/>
      <c r="I103" s="100"/>
      <c r="J103" s="100"/>
      <c r="K103" s="100"/>
      <c r="L103" s="100"/>
      <c r="M103" s="100"/>
      <c r="N103" s="100"/>
      <c r="P103" s="100" t="s">
        <v>151</v>
      </c>
      <c r="Q103" s="100"/>
      <c r="R103" s="100"/>
      <c r="S103" s="100"/>
    </row>
  </sheetData>
  <mergeCells count="33">
    <mergeCell ref="A1:D1"/>
    <mergeCell ref="A2:D2"/>
    <mergeCell ref="A3:M3"/>
    <mergeCell ref="A4:S4"/>
    <mergeCell ref="A6:A7"/>
    <mergeCell ref="B6:B8"/>
    <mergeCell ref="C6:C8"/>
    <mergeCell ref="D6:D8"/>
    <mergeCell ref="E6:N6"/>
    <mergeCell ref="O6:S6"/>
    <mergeCell ref="E7:E8"/>
    <mergeCell ref="F7:F8"/>
    <mergeCell ref="G7:G8"/>
    <mergeCell ref="H7:H8"/>
    <mergeCell ref="N7:N8"/>
    <mergeCell ref="O7:O8"/>
    <mergeCell ref="B10:D10"/>
    <mergeCell ref="B18:D18"/>
    <mergeCell ref="B91:D91"/>
    <mergeCell ref="B97:D97"/>
    <mergeCell ref="P98:S98"/>
    <mergeCell ref="G103:N103"/>
    <mergeCell ref="P103:S103"/>
    <mergeCell ref="O1:AG1"/>
    <mergeCell ref="P7:P8"/>
    <mergeCell ref="Q7:Q8"/>
    <mergeCell ref="R7:R8"/>
    <mergeCell ref="S7:S8"/>
    <mergeCell ref="F98:H98"/>
    <mergeCell ref="F102:H102"/>
    <mergeCell ref="P102:R102"/>
    <mergeCell ref="P99:S99"/>
    <mergeCell ref="G99:N99"/>
  </mergeCells>
  <pageMargins left="0.83" right="0.16" top="0.26" bottom="0.33" header="0.2" footer="0.23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QUÝ -2022</vt:lpstr>
      <vt:lpstr>'QUÝ -2022'!Print_Titles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Truong</dc:creator>
  <cp:lastModifiedBy>Administrator</cp:lastModifiedBy>
  <cp:lastPrinted>2022-12-14T00:56:08Z</cp:lastPrinted>
  <dcterms:created xsi:type="dcterms:W3CDTF">2018-07-05T01:20:15Z</dcterms:created>
  <dcterms:modified xsi:type="dcterms:W3CDTF">2022-12-14T00:56:59Z</dcterms:modified>
</cp:coreProperties>
</file>